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8125" windowHeight="12495" tabRatio="500" firstSheet="9" activeTab="15"/>
  </bookViews>
  <sheets>
    <sheet name="Orientações" sheetId="1" state="hidden" r:id="rId1"/>
    <sheet name="Servente" sheetId="2" state="hidden" r:id="rId2"/>
    <sheet name="Pedreiro" sheetId="11" r:id="rId3"/>
    <sheet name="Eletricista" sheetId="5" r:id="rId4"/>
    <sheet name="Pintor" sheetId="6" r:id="rId5"/>
    <sheet name="Técnico Manutenção" sheetId="18" r:id="rId6"/>
    <sheet name="Tecnico Refrigeração" sheetId="7" r:id="rId7"/>
    <sheet name="Auxiliar Manutenção" sheetId="8" r:id="rId8"/>
    <sheet name="Auxiliar de Manutenção (Areia)" sheetId="17" r:id="rId9"/>
    <sheet name="Jardineiro" sheetId="9" r:id="rId10"/>
    <sheet name="Operador Carga" sheetId="10" r:id="rId11"/>
    <sheet name="Uniformes e EPI" sheetId="12" r:id="rId12"/>
    <sheet name="EPC" sheetId="13" r:id="rId13"/>
    <sheet name="Equipamentos e Materiais" sheetId="14" r:id="rId14"/>
    <sheet name="Diárias" sheetId="16" r:id="rId15"/>
    <sheet name="RESUMO" sheetId="15" r:id="rId16"/>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2">Pedreiro!$A$1:$D$149</definedName>
    <definedName name="_xlnm.Print_Area" localSheetId="3">Eletricista!$A$1:$D$149</definedName>
    <definedName name="_xlnm.Print_Area" localSheetId="4">Pintor!$A$1:$D$149</definedName>
    <definedName name="_xlnm.Print_Area" localSheetId="5">'Técnico Manutenção'!$A$1:$D$148</definedName>
    <definedName name="_xlnm.Print_Area" localSheetId="6">'Tecnico Refrigeração'!$A$1:$D$149</definedName>
    <definedName name="_xlnm.Print_Area" localSheetId="7">'Auxiliar Manutenção'!$A$1:$D$149</definedName>
    <definedName name="_xlnm.Print_Area" localSheetId="8">'Auxiliar de Manutenção (Areia)'!$A$1:$D$149</definedName>
    <definedName name="_xlnm.Print_Area" localSheetId="9">Jardineiro!$A$1:$D$149</definedName>
    <definedName name="_xlnm.Print_Area" localSheetId="10">'Operador Carga'!$A$1:$D$149</definedName>
    <definedName name="_xlnm.Print_Area" localSheetId="11">'Uniformes e EPI'!$A$1:$H$164</definedName>
    <definedName name="_xlnm.Print_Area" localSheetId="12">EPC!$A$1:$F$21</definedName>
    <definedName name="_xlnm.Print_Area" localSheetId="13">'Equipamentos e Materiais'!$A$1:$F$155</definedName>
    <definedName name="_xlnm.Print_Area" localSheetId="14">Diárias!$A$1:$F$22</definedName>
    <definedName name="_xlnm.Print_Area" localSheetId="15">RESUMO!$A$1:$G$14</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<sst xmlns="http://schemas.openxmlformats.org/spreadsheetml/2006/main" count="3404" uniqueCount="510">
  <si>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</si>
  <si>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</si>
  <si>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</si>
  <si>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</si>
  <si>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</si>
  <si>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</si>
  <si>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</si>
  <si>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</si>
  <si>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</si>
  <si>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</si>
  <si>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</si>
  <si>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</si>
  <si>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</si>
  <si>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</si>
  <si>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</si>
  <si>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</si>
  <si>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</si>
  <si>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</si>
  <si>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</si>
  <si>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</si>
  <si>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</si>
  <si>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</si>
  <si>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</si>
  <si>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</si>
  <si>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</si>
  <si>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</si>
  <si>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</si>
  <si>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</si>
  <si>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</si>
  <si>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</si>
  <si>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</si>
  <si>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</si>
  <si>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</si>
  <si>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</si>
  <si>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</si>
  <si>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</si>
  <si>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</si>
  <si>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</si>
  <si>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</si>
  <si>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</si>
  <si>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</si>
  <si>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</si>
  <si>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</si>
  <si>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</si>
  <si>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</si>
  <si>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</si>
  <si>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</si>
  <si>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</si>
  <si>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</si>
  <si>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</si>
  <si>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</si>
  <si>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</si>
  <si>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</si>
  <si>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</si>
  <si>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</si>
  <si>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</si>
  <si>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</si>
  <si>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</si>
  <si>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</si>
  <si>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</si>
  <si>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</si>
  <si>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</si>
  <si>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</si>
  <si>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</si>
  <si>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</si>
  <si>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</si>
  <si>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</si>
  <si>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</si>
  <si>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</si>
  <si>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</si>
  <si>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</si>
  <si>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</si>
  <si>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</si>
  <si>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</si>
  <si>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</si>
  <si>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</si>
  <si>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</si>
  <si>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</si>
  <si>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</si>
  <si>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</si>
  <si>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</si>
  <si>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</si>
  <si>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</si>
  <si>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</si>
  <si>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</si>
  <si>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</si>
  <si>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</si>
  <si>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</si>
  <si>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</si>
  <si>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</si>
  <si>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</si>
  <si>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</si>
  <si>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</si>
  <si>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</si>
  <si>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</si>
  <si>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</si>
  <si>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</si>
  <si>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</si>
  <si>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</si>
  <si>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</si>
  <si>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</si>
  <si>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</si>
  <si>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</si>
  <si>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</si>
  <si>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</si>
  <si>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</si>
  <si>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</si>
  <si>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</si>
  <si>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</si>
  <si>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</si>
  <si>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</si>
  <si>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</si>
  <si>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</si>
  <si>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</si>
  <si>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</si>
  <si>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</si>
  <si>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</si>
  <si>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</si>
  <si>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</si>
  <si>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</si>
  <si>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</si>
  <si>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</si>
  <si>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</si>
  <si>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</si>
  <si>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</si>
  <si>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</si>
  <si>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</si>
  <si>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</si>
  <si>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</si>
  <si>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</si>
  <si>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</si>
  <si>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</si>
  <si>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</si>
  <si>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</si>
  <si>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</si>
  <si>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</si>
  <si>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</si>
  <si>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</si>
  <si>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</si>
  <si>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</si>
  <si>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</si>
  <si>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</si>
  <si>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</si>
  <si>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</si>
  <si>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</si>
  <si>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</si>
  <si>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</si>
  <si>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</si>
  <si>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</si>
  <si>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</si>
  <si>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</si>
  <si>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</si>
  <si>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</si>
  <si>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</si>
  <si>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</si>
  <si>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</si>
  <si>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</si>
  <si>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</si>
  <si>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</si>
  <si>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</si>
  <si>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</si>
  <si>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</si>
  <si>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</si>
  <si>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</si>
  <si>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</si>
  <si>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</si>
  <si>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</si>
  <si>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</si>
  <si>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</si>
  <si>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</si>
  <si>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</si>
  <si>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</si>
  <si>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</si>
  <si>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</si>
  <si>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</si>
  <si>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</si>
  <si>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</si>
  <si>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</si>
  <si>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Processo Administrativo n.°</t>
    </r>
    <r>
      <rPr>
        <sz val="11"/>
        <color rgb="FF000000"/>
        <rFont val="Calibri"/>
        <charset val="134"/>
      </rPr>
      <t xml:space="preserve"> 23381.004060.2023-64</t>
    </r>
  </si>
  <si>
    <t>Licitação n°</t>
  </si>
  <si>
    <t>013/2023</t>
  </si>
  <si>
    <t>Discriminação dos Serviços (Dados Referente à Contratação)</t>
  </si>
  <si>
    <t>Data -  Apresentação da Proposta</t>
  </si>
  <si>
    <t>....../......./20.......</t>
  </si>
  <si>
    <t>Município - ISSQN</t>
  </si>
  <si>
    <t>ISSQN 5 % (cinco por cento)</t>
  </si>
  <si>
    <t>Ano Acordo, Convenção ou Dissídio Coletivo</t>
  </si>
  <si>
    <t>CCT PB000071/2023</t>
  </si>
  <si>
    <t>Número de Meses de Execução Contratual</t>
  </si>
  <si>
    <t>12 (doze) meses</t>
  </si>
  <si>
    <t>Identificação do Serviço</t>
  </si>
  <si>
    <t>Tipo de Serviço</t>
  </si>
  <si>
    <t>Unidade de Medida</t>
  </si>
  <si>
    <t>Quantidade Total a Contratar</t>
  </si>
  <si>
    <t>Pedreiro</t>
  </si>
  <si>
    <t>44 horas</t>
  </si>
  <si>
    <t>MTE</t>
  </si>
  <si>
    <t>7152-10</t>
  </si>
  <si>
    <t>SEAC-PB</t>
  </si>
  <si>
    <t>01/JANEIRO</t>
  </si>
  <si>
    <t>GRUPO VII</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</si>
  <si>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</si>
  <si>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</si>
  <si>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</si>
  <si>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</si>
  <si>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</si>
  <si>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</si>
  <si>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</si>
  <si>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</si>
  <si>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</si>
  <si>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</si>
  <si>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</si>
  <si>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</si>
  <si>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</si>
  <si>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</si>
  <si>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</si>
  <si>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</si>
  <si>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</si>
  <si>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Uniformes e Equipamento de Proteção Individual - EPI</t>
  </si>
  <si>
    <t>Equipamentos de Proteção Coletiva - EPC</t>
  </si>
  <si>
    <t>Diárias</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</si>
  <si>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</si>
  <si>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</si>
  <si>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</si>
  <si>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</si>
  <si>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</si>
  <si>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</si>
  <si>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</si>
  <si>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</si>
  <si>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</si>
  <si>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</si>
  <si>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</si>
  <si>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</si>
  <si>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CCT PB00071/2023</t>
  </si>
  <si>
    <t>Eletricista</t>
  </si>
  <si>
    <t>7156-10</t>
  </si>
  <si>
    <t>Lei n.° 12.740/2012 – NR 16 Anexo IV</t>
  </si>
  <si>
    <t>Pintor</t>
  </si>
  <si>
    <t>7166-10</t>
  </si>
  <si>
    <t>Técnico em Manutenção</t>
  </si>
  <si>
    <t>Técnico Mecânico em Refrigeração</t>
  </si>
  <si>
    <t>7257-05</t>
  </si>
  <si>
    <t>LTCAT</t>
  </si>
  <si>
    <t>Auxiliar de Manutenção Predial</t>
  </si>
  <si>
    <t>5143-10</t>
  </si>
  <si>
    <t>Jardineiro</t>
  </si>
  <si>
    <t>6220-10</t>
  </si>
  <si>
    <t>GRUPO III</t>
  </si>
  <si>
    <r>
      <rPr>
        <b/>
        <sz val="11"/>
        <color rgb="FF000000"/>
        <rFont val="Calibri"/>
        <charset val="134"/>
      </rPr>
      <t xml:space="preserve">Processo Administrativo n.° </t>
    </r>
    <r>
      <rPr>
        <sz val="11"/>
        <color rgb="FF000000"/>
        <rFont val="Calibri"/>
        <charset val="134"/>
      </rPr>
      <t>23381.004060.2023-64</t>
    </r>
  </si>
  <si>
    <t>Ajudante de Carga e Descarga de Mercadoria</t>
  </si>
  <si>
    <t>7832-25</t>
  </si>
  <si>
    <t>GRUPO I</t>
  </si>
  <si>
    <t>UNIFORMES E EQUIPAMENTOS DE PROTEÇÃO INDIVIDUAL E COLETIVO</t>
  </si>
  <si>
    <t>PEDREIRO</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</si>
  <si>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</si>
  <si>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</si>
  <si>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</si>
  <si>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</si>
  <si>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</si>
  <si>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</si>
  <si>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</si>
  <si>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</si>
  <si>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</si>
  <si>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brim 100% algodão, sem partes metálicas.</t>
  </si>
  <si>
    <t>Unidade</t>
  </si>
  <si>
    <t>CAMISA</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</si>
  <si>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</si>
  <si>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</si>
  <si>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</si>
  <si>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</si>
  <si>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</si>
  <si>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</si>
  <si>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</si>
  <si>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</si>
  <si>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</si>
  <si>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</si>
  <si>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</si>
  <si>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</si>
  <si>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</si>
  <si>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</si>
  <si>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</si>
  <si>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A, aba frontal, com carneira e jugular. Regulagem de tamanho através de ajuste simples, cor azul, com selo de marcação do INMETRO.</t>
  </si>
  <si>
    <t>CINTO DE SEGURANÇA</t>
  </si>
  <si>
    <t>Conjunto cinto de segurança tipo paraquedista com talabarte duplo e kit trava queda (o cinto de segurança e o talabarte deverão ter o mesmo C.A.)</t>
  </si>
  <si>
    <t>Conjunto</t>
  </si>
  <si>
    <t>LUVA</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</si>
  <si>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</si>
  <si>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</si>
  <si>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</si>
  <si>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</si>
  <si>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</si>
  <si>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</si>
  <si>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</si>
  <si>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</si>
  <si>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</si>
  <si>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</si>
  <si>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</si>
  <si>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</si>
  <si>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</si>
  <si>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</si>
  <si>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Luva de segurança isolante em borracha para alta tensão 20Kv, classe 2, para tensão máxima de uso até 17.000V.</t>
  </si>
  <si>
    <t>PINTOR</t>
  </si>
  <si>
    <t>TÉCNICO EM MANUTENÇÃO</t>
  </si>
  <si>
    <t>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t>
  </si>
  <si>
    <t>TÉCNICO MECÂNICO EM REFRIGERAÇÃO</t>
  </si>
  <si>
    <t>AUXILIAR DE MANUTENÇÃO PREDIAL</t>
  </si>
  <si>
    <t>JARDINEIRO</t>
  </si>
  <si>
    <t>CAPA DE CHUVA</t>
  </si>
  <si>
    <t>Capa de chuva confeccionada em PVC com forro de poliéster, com mangas, capuz conjugado, fechamento frontal por meio de botões, fechamento das costuras através de solda eletrônica.</t>
  </si>
  <si>
    <t>AJUDANTE DE CARGA E DESCARGA DE MERCADORIA</t>
  </si>
  <si>
    <t>CINTA ERGONÔMICA</t>
  </si>
  <si>
    <t>Cinta ergonômica com suspensório, com elástico reforçado com fileiras duplas na região lombar e 5 flanges de PVC maleável, costura em nylon de alta resistência. Velcro de máxima aderência, com faixa refletiva de 30mm. Na cor Preta.</t>
  </si>
  <si>
    <t>EQUIPAMENTOS DE PROTEÇÃO COLETIVA</t>
  </si>
  <si>
    <t>VALOR UNITÁRIO</t>
  </si>
  <si>
    <t>VALOR TOTAL</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</si>
  <si>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</si>
  <si>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</si>
  <si>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</si>
  <si>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</si>
  <si>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</si>
  <si>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</si>
  <si>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</si>
  <si>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</si>
  <si>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</si>
  <si>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</si>
  <si>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</si>
  <si>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</si>
  <si>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</si>
  <si>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</si>
  <si>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</si>
  <si>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</si>
  <si>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</si>
  <si>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</si>
  <si>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</si>
  <si>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</si>
  <si>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</si>
  <si>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</si>
  <si>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VALOR 
TOTAL</t>
  </si>
  <si>
    <t>Alicate Universal Isolado 8" - Material: Liga de aço; Formato ‎Reto;  Cabo Isolado para 1000V</t>
  </si>
  <si>
    <t>UND</t>
  </si>
  <si>
    <t>Alicate de Pressão Isolado 10" - Material: Aço forjado; Cabo isolado; Mordente</t>
  </si>
  <si>
    <t>Alicate de Corte Isolado 6" - Material: Aço Carbono; Cabo isolado para 1.000V; Corte Diagonal</t>
  </si>
  <si>
    <t>Alicate Bico Isolado 6'' - Material: Aço forjado; Cabo isolado para 1.000V; Meia Cana</t>
  </si>
  <si>
    <t>Alicate Desencapador de Fios 6 Pol. - Material do corpo do alicate: Aço carbono; Capacidade do alicate desencapador: Cortar e prensar = 0,5 mm² - 6,0 mm² / Desencapar = 0,2 mm² - 6,0 mm² | Comprimento total do alicate: 6 pol - 152 mm.</t>
  </si>
  <si>
    <t>Alicate Prensa Terminais Pré-Isolados 7 Pol. - Material do corpo: Aço carbono; Aplicação:  prensar terminais pré-isolados tipo fêmea, macho, forquilha (garfo), anel e pino, para fios e cabos com bitolas de 0,5mm² a 6,0mm²; Possui regulador de pressão</t>
  </si>
  <si>
    <t>Chave de Fenda 1/4 x 8 Pol. - Especificações Técnicas: Aço; Haste niquelada e cromada; Ponta fosfatizada; Medidas: 1/4 x 8 Pol.</t>
  </si>
  <si>
    <t>Chave de Fenda 3/16 x 8 Pol. - Especificações Técnicas: Aço; Haste niquelada e cromada; Ponta fosfatizada; Medidas: 3,16 x 8 Pol.</t>
  </si>
  <si>
    <t>Chave de Fenda 1/2 x 10 Pol. - Especificações Técnicas: Aço; Haste niquelada e cromada; Ponta fosfatizada; Medidas: 1,2 x 10 Pol.</t>
  </si>
  <si>
    <t>Chave Phillips 1/4 X 10 Pol - Haste em aço cromo vanádio temperada; Acabamento cromado; Ponta fosfatizada e magnetizada; Cabo injetado; Medidas: 1/4 X 10 Pol.</t>
  </si>
  <si>
    <t>Chave Phillips de 1/4 x 8 Pol. -  Haste em aço cromo vanádio temperada; Acabamento cromado; Ponta fosfatizada e magnetizada; Cabo injetado; Medidas: 1/4" x 8"</t>
  </si>
  <si>
    <t>Chave Phillips 3/16 x 8 pol. - Haste em aço cromo vanádio temperada; Acabamento cromado; Ponta fosfatizada e magnetizada; Cabo injetado; Medidas: 3/16 x 8"</t>
  </si>
  <si>
    <t>Chave Phillips 3/16 x 3 Pol. - Haste em aço cromo vanádio temperada; Acabamento cromado; Ponta fosfatizada e magnetizada; Cabo injetado; Medidas: 3/16 x 3 Pol.</t>
  </si>
  <si>
    <t>Chave Phillips 1/4 x 5 Pol. - Haste em aço cromo vanádio temperada; Acabamento cromado; Ponta fosfatizada e magnetizada; Cabo injetado; Medidas: 1/4 x 5 Pol.</t>
  </si>
  <si>
    <t>Chave de Fenda Cotoco 1/4 x 1.1/2 Pol. - Fabricado em aço; Haste niquelada e cromada; Cabo em polipropileno; Ponta fosfatizada; Medidas: 1/4 x 1.1/2 Pol.</t>
  </si>
  <si>
    <t>Chave Phillips Cotoco 1/4 x 1.1/2 Pol. - Fabricado em aço; Haste niquelada e cromada; Cabo em polipropileno; Ponta fosfatizada; Medidas: 1/4 x 1.1/2 Pol.</t>
  </si>
  <si>
    <t>Chave de Fenda 1/8 x 3'' - Fabricado em aço; Haste niquelada e cromada; Cabo em polipropileno; Ponta fosfatizada; Medidas: 1/8 x 3 Pol.</t>
  </si>
  <si>
    <t>Chave Teste Elétrico - Material da haste da chave: Aço carbono; Acabamento da haste da chave: Niquelado; Tensão de trabalho da chave Teste: 100 V~ a 500 V~</t>
  </si>
  <si>
    <t>Chave inglesa 12 Pol. - Fabricada em aço; Acabamento cromado; Aplicação: apertar e soltar parafusos, porcas sextavadas ou quadradas; Abertura total da boca: 35 mm; Medida: 12 Pol.</t>
  </si>
  <si>
    <t>Chave Inglesa 10 Pol. - Fabricada em aço; Acabamento cromado; Aplicação: apertar e soltar parafusos, porcas sextavadas ou quadradas; Abertura total da boca: 28 mm; Medida: 10 Pol.</t>
  </si>
  <si>
    <t>Chave Inglesa 8 Pol. -  Fabricada em aço; Acabamento cromado; Aplicação: apertar e soltar parafusos, porcas sextavadas ou quadradas; Abertura total da boca: 23 mm; Medida: 8 Pol.</t>
  </si>
  <si>
    <t>Jogo de Chave Allen com 8 Peças - Fabricado em aço cromo - vanádio; Acabamento  fosfatizada e escurecida; Medidas das Chaves: 2, 2.5, 3, 4, 5, 6, 8 e 10 mm</t>
  </si>
  <si>
    <t>Jogo de Chave Combinada Boca/Estria - Material: Aço Forjado; Composto por 12 chaves; Medidas das chaves: 6mm a 22mm</t>
  </si>
  <si>
    <t>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t>
  </si>
  <si>
    <t>Jogo de Brocas Widea 3 a 10mm - Acabamento brilhante; Aplicações em construção civil/alvenaria; Acompanha estojo plástico com marcações de medidas, para armazenamento das ferramentas; Contém 08 peças, sendo de medidas:- 3mm – 4mm – 5mm – 6mm – 7mm – 8mm – 9mm – 10mm</t>
  </si>
  <si>
    <t>Jogo de Brocas de aço rápido de 1/16 a 3/8 Pol. com 21 Peças - Acompanha estojo plástico com marcações de medidas, para armazenamento das ferramentas; Medidas das peças: 1/16 - 5/64 - 3/32 - 7/64 - 1/8 - 9/64 - 5/32 - 11/64 - 3/16 -  13/64 - 7/32 - 15/64 - 1/4 - 17/64 - 9/32 - 19/64 - 5/16 - 21/64 - 11/32 - 23/64 - 3/8”</t>
  </si>
  <si>
    <t xml:space="preserve">Estilete Profissional - Material do Corpo do Estilete: Metálico revestido com borracha termoplástica; Tipo da Lâmina: Reta segmentada; Comprimento Total: 200 mm; Largura da Lâmina (mm): 25 </t>
  </si>
  <si>
    <t>Arco de Serra Fixo 12"-  com pintura eletrostática a pó na cor preta, lâmina de serra e cabo injetado em polipropileno</t>
  </si>
  <si>
    <t>Alicate Bomba-d'água Isolado 1.000 V 10" - Forjado em aço cromo vanádio; Acabamento fosfatizado; Possui 4 regulagens de abertura; Isolamento Elétrico de 1.000 V</t>
  </si>
  <si>
    <t>Chave Grifo 18 Pol. - Material: ‎Ferro; Mordente em aço; Medida: 18” (450 mm); Abertura do mordente: 80mm</t>
  </si>
  <si>
    <t>Martelo Bola 500g - Cabeça em aço resistente, Cabo em madeira legítima; Peso: 500g; Comprimento total: 330 mm; Comprimento da cabeça: 100 mm; Diâmetro da cabeça: 25 mm</t>
  </si>
  <si>
    <t>Marreta Oitavada 500 g - Cabeça forjada e temperada em aço carbono especial; Cabeça com acabamento envernizado; Cabo em madeira envernizada; Fixação por cunha metálica; Comprimento da cabeça: 89 mm; Comprimento total:255 mm; Diâmetro do batente: 30 mm</t>
  </si>
  <si>
    <t>Marreta Oitavada 1Kg - Cabeça forjada e temperada em aço carbono especial; Cabeça com acabamento envernizado; Cabo em madeira envernizada; Comprimento total:320 mm</t>
  </si>
  <si>
    <t>Talhadeira Sextavada 6 Pol. - Corpo em aço especial; Barra sextavada; Têmpera por indução nas duas extremidades</t>
  </si>
  <si>
    <t>Talhadeira Sextavada 8 Pol. - Corpo em aço especial; Barra sextavada; Têmpera por indução nas duas extremidades</t>
  </si>
  <si>
    <t>Tesoura Para Corte de Chapa 10 Pol. - Tipo Aviação; Corte Reto; Mecanismo de alavanca dupla; Cabo emborrachado</t>
  </si>
  <si>
    <t>Pá Quadrada com Cabo de Madeira 71cm - Fabricada em aço carbono; Pintura eletrostática a pó; Cabo em Madeira com acabamento envernizado</t>
  </si>
  <si>
    <t>Enxada Estreita Cabo 145cm -  Material: Metal; Cabo em Madeira; Mediadas: Largura 24 cm; Comprimento 145 cm</t>
  </si>
  <si>
    <t>Picareta Chibanca com Cabo de Madeira de 90cm - Picareta forjada em aço carbono; Cabo de madeira; Tamanho do cabo: 90 cm; Dimensões gerais: 905 x 378 x 98 mm</t>
  </si>
  <si>
    <t>Desempenadeira de Madeira 140 mm x 260 mm - Material: Madeira; Medidas: 140 mm x 260 mm; Aplicação: aplicar, nivelar e espalhar uniformemente rebocos.</t>
  </si>
  <si>
    <t>Desempenadeira de Madeira 120 mm x 200 mm - Material: Madeira; Medidas: 120 mm x 200 mm; Aplicação: aplicar, nivelar e espalhar uniformemente rebocos.</t>
  </si>
  <si>
    <t xml:space="preserve">Desempenadeira de Aço Lisa 250 mm X 120 mm - Material da chapa: Aço; Material do Cabo: Madeira ou Polipropileno; Uso: aplicação de calfino e massa corrida </t>
  </si>
  <si>
    <t>Picareta com Cabo de Madeira de 95 cm - Fabricado em aço especial; Cabo de madeira; Extremidades levemente afiadas; Tamanho total: 95 cm</t>
  </si>
  <si>
    <t>Alavanca Redonda Corrugada 1" x 1,50 m - Material: aço corrugado CA50, Pontas Temperadas; Medidas: 1" x 1,50 m</t>
  </si>
  <si>
    <t>Peneira de Aro Plástico para Areia 55 cm - Tela em arame galvanizado; Diâmetro da peneira: 55 cm; Malha da Peneira: 8; Fio da Peneira: 28; Material do aro da peneira: Plástico</t>
  </si>
  <si>
    <t>Martelo de Borracha 60mm - Material da Cabeça: Borracha; Diâmetro da Cabeça do Martelo: 60,0 mm; Material do Cabo: Madeira</t>
  </si>
  <si>
    <t>Régua de Alumínio para Pedreiro 2 m - Material: Alumínio; Comprimento da Régua: 2,0 m; Largura da Régua: 49,7 mm; Altura da Régua: 25,5 mm</t>
  </si>
  <si>
    <t>Prumo de Metal para Parede 500 g - Material do Corpo do Prumo : Metal; Material da Base de Apoio do Prumo: Madeira; Massa do Prumo: 500 g</t>
  </si>
  <si>
    <t>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t>
  </si>
  <si>
    <t>Colher de Pedreiro 9 Pol. - Cabo de Madeira - Fabricada em aço carbono; Pintura Eletrostática a Pó; Lâmina com tamanho 9";  Guarnição Metálica</t>
  </si>
  <si>
    <t>Ponteiro Sextavado 8 Pol. - Corpo em aço especial; Barra sextavada; Dimensões: Largura: 1,9 cm x Altura: 0,6 cm x Comprimento: 20 cm.</t>
  </si>
  <si>
    <t>Torquês para Armador 9" -  Material Aço Carbono; Material do Cabo: Plástico; Aplicação: cortar, apertar e dobrar arames e ferros; Medida: 9 Pol.</t>
  </si>
  <si>
    <t>Esquadro em Aço 12 Pol. - Material: Aço Temperado; Cabo em Plástico Injetado; Tamanho: 12Pol. (30cm); Graduação: mm / pol.;  Marcação de peças em ângulos de 45° e 90°</t>
  </si>
  <si>
    <t>Linha de Pedreiro Trançada 100 m -  Material: PE (Polietileno); Carretel com 100 Metros; Aplicação: Indicado para Construção Civil para Alinhamento em Geral</t>
  </si>
  <si>
    <t>Pé de Cabra Forjado 24 Pol. - Corpo em aço forjado com secção hexagonal; Comprimento: 24” (60 cm); Espessura do Corpo: 19 mm</t>
  </si>
  <si>
    <t>Nível de Alumínio 14 Pol. -  Corpo De Alumínio; Régua Graduada; Possui: 3 Bolhas de Nível</t>
  </si>
  <si>
    <t>Mangueira para Nível  3/8”X1,5MM -  Material: Plástico , Aplicação: Medida De Nível , Cor: Cristal , Diâmetro Interno: 3/8 Pol.</t>
  </si>
  <si>
    <t>Rolo com 50 Metros</t>
  </si>
  <si>
    <t>Trena com Caixa Plástica Emborrachada 5 m - Com caixa plástica emborrachada; Comprimento: 5 metros; Largura da fita 3/4"</t>
  </si>
  <si>
    <t>Diamante Rodel Ø7 x 80mm - Haste em aço carbono zincado com disco de carboneto de tungstênio (wídia)</t>
  </si>
  <si>
    <t>Pincel de pelo de 2 cm - Material Cerdas: Pelo De Malta , Tamanho: 3/4 POL, Tipo Cabo: Curto , Material Cabo: Madeira , Formato: Retangular</t>
  </si>
  <si>
    <t>Pincel de pelo de 4 cm - Material Cerdas: Pelo De Malta , Tamanho: 1. 1/2 POL, Tipo Cabo: Curto , Material Cabo: Madeira , Formato: Retangular</t>
  </si>
  <si>
    <t>Pincel de pelo de 8 cm - Material Cerdas: Pelo De Malta , Tamanho: 3 POL, Tipo Cabo: Curto , Material Cabo: Madeira , Formato: Retangular</t>
  </si>
  <si>
    <t>Bandeja de Pintura 23cm - Corpo fabricado em polipropileno, possui frisos removedores do excesso de tinta; Aplicação: Serviços de pinturas em geral; Medida: 23 cm</t>
  </si>
  <si>
    <t>Rolo de Espuma Amarela 5 cm - Rolo De Espuma Poliester Amarelo para Pintura; com Cabo Pop 9Cm; Aplicação : Ideal para Látex, PVA e Acrílica a base de água; Com Haste</t>
  </si>
  <si>
    <t>Rolo de Espuma Amarela 9 cm - Rolo De Espuma Poliester Amarelo para Pintura; com Cabo Pop 9Cm; Aplicação : Ideal para Látex, PVA e Acrílica a base de água; Com Haste</t>
  </si>
  <si>
    <t>Rolo de Lã de Carneiro 15 cm  - Material do rolo para pintura: Lã sintética; Suporte do rolo para pintura: Com suporte metálico</t>
  </si>
  <si>
    <t>Rolo de Lã de Carneiro 23 cm -Material do rolo para pintura: Lã sintética; Suporte do rolo para pintura: Com suporte metálico</t>
  </si>
  <si>
    <t>Rolo para Textura/Decoração 23 cm - Tipo: Cabelo de Anjo; Aplicação: Decoraçâo e efeitos especiais; Medidas: 23 x 5.3 x 5.3 cm; 118 g; Sem Haste.</t>
  </si>
  <si>
    <t>Broxa Retangular Plástica 18 cm x 7.5 cm - Material da Base: Plástico; Material do Cabo: Plástico; Material das Cerdas: Sintéticas; Medidas: 18 cm x 7. 5 cm x  65 mm</t>
  </si>
  <si>
    <t>Espátula de Aço 100 mm - Espátula com lâmina de aço inox, largura 100 mm, e cabo de madeira tratada.</t>
  </si>
  <si>
    <t xml:space="preserve">Espátula Dentada 10 cm - Material: Polipropileno; Aplicação: Acabamento de texturas decorativas. </t>
  </si>
  <si>
    <t xml:space="preserve">Desempenadeira em Aço Dentada 400 mm x 120 mm - Fabricada em aço; Empunhadura em madeira com haste metálica; Espaçamento entre os dentes: 10mm; Medidas: 400 mm x 120 mm </t>
  </si>
  <si>
    <t>Pazinha Larga para Jardinagem 30cm - Fabricada em aço carbono; Pintura eletrostática a pó; Cabo em madeira; Medidas: 6,4 cm x 8,3 cm x 30,2 cm</t>
  </si>
  <si>
    <t>Garfo Metálico para Jardinagem 28,3 cm - Fabricada em aço carbono; Pintura eletrostática pó; Cabo em madeira; Medidas: 283 x 72x 49 mm</t>
  </si>
  <si>
    <t>Escadilho Metálico para Jardinagem - Fabricada em aço carbono; Pintura eletrostática a pó; Cabo em madeira; Medidas: 5 Pol.</t>
  </si>
  <si>
    <t>Jogo de Serras Copo 6 Peças - Fabricados em aço carbono; Aplicação: Furar madeiras em geral, gesso, DryWall, placas de acrílico, PVC e plásticos; Conteúdo: Serra copos: 32 /38 / 44 / 54 mm; 1 Chave allen de fixação; 1 Broca de centro</t>
  </si>
  <si>
    <t>Tesoura de Poda - Lâminas em aço carbono temperado com afiação otimizada; Cabo ergonômico curvo, com batentes internos; Eixo de corte centralizado; Diâmetro de corte máximo admitido: 17 mm</t>
  </si>
  <si>
    <t>Tesoura para Cerca-Viva/Grama 12 Pol. - Lâminas lisas fabricadas em aço carbono; Cabo em madeira com acabamento envernizado; com guarnição metálica.</t>
  </si>
  <si>
    <t>Serrote Dobrável para Poda 12,5 Pol. - Material da lâmina do serrote: Aço carbono; Material do cabo do serrote: Plástico rígido ABS; Dobrável; Medidas: 240 mm x 420 mm x 190 mm</t>
  </si>
  <si>
    <t>Vassoura Metálica Fixa 18 Dentes - Fabricada em aço carbono; Pintura eletrostática a pó; Possui 18 dentes de arame; Cabo em madeira; Medidas: 153.4 cm x 37.5 cm x 9.5 cm</t>
  </si>
  <si>
    <t>Cavadeira Articulada - Material: Aço Carbono Especial; Cabo: Madeira (1,10 Metros); Tipo: Articulada; Dimensões (AxLxC): 12 cm x 11 cm x 129 cm.</t>
  </si>
  <si>
    <t>Facão 14 Pol. - Fabricado em aço com alto teor de carbono, Comprimento da lâmina do facão: 14 "; Material do cabo do facão: Madeira</t>
  </si>
  <si>
    <t>Carrinho de Mão Preto com Pneu de 60 Litros - Produzido com chapas de aço; Capacidade da Caçamba: 60 Litros; Caçamba: 46 cm x 65 cm x 85 cm; Alça: 1,20 cm x 34 cm x 1,45 cm; Roda: Pé: 1,50mm; RPC 628 – 325.8; 360mm; Aro: ARC 8 CP Cubo PP 0,90mm (CH20)</t>
  </si>
  <si>
    <t>Pá Ajuntadeira de Bico n.° 3 - Fabricada em aço carbono; Pintura eletrostática a pó; Cabo em Madeira; Dimensões: 1.025 mm x 269 mm x 161 mm.</t>
  </si>
  <si>
    <t xml:space="preserve">Desentupidor de Pia Sanfonada - Material: Borracha Flexível , Cor: Preta , Material Cabo: Plástico Resistente , Comprimento Cabo: 20 cm, Tipo: Sanfonado </t>
  </si>
  <si>
    <t>Desentupidor de Vaso Sanitário - Material: Borracha Flexível , Comprimento Cabo: 50 cm, Altura: 10 cm, Cor: Preta , Diâmetro: 16 cm, Material Cabo: Madeira</t>
  </si>
  <si>
    <t xml:space="preserve">Desentupidor de Canos e Encanamentos Espiral - Material: aço; Aplicação: Desentupimento de caixas de inspeção, calhas, saídas de vaso sanitário, tubulação de esgoto e tubulações; Com mola Rotativa; Dimensões: 5 m </t>
  </si>
  <si>
    <t>Extensão Elétrica 10 m - Cabo PP Plano 2x1,00mm²; Plugues, Tomadas e Cabos certificados pelo Inmetro; Material Antichama; Condutor de Cobre 99,9% Puro; 127V - 1100W | 220V - 2200W</t>
  </si>
  <si>
    <t>Ferro De Soldar 60w x 220v - Ferro de solda com potência de 60 watts; Voltagem 220 v; Inclui suporte</t>
  </si>
  <si>
    <t>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t>
  </si>
  <si>
    <t>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</si>
  <si>
    <t>Pente Aletas Plastica 6 Pontas - Material: Plástico; Pentes de: 8, 9, 10, 12, 14, 15; Aplicação: Função de limpar e desentortar aletas de condensadores e evaporadores, facilitando a passagem de ar, o que diminui o risco de danos por superaquecimento.</t>
  </si>
  <si>
    <t>Conjunto de Serra Copo Bi metálico com 12 Unidades -  kit serra copo diamantado para parede e porcelanato, contendo: 9 Serras copos, tamanhos: 3/4", 7/8", 1-1/8", 1-3/8", 1-1/2", 1-3/4", 2", 2-1/4", 2-1/2" :: 1 Haste de Mandril 3/8" :: 1 Haste de Mandril 7/16" :: 1 Adaptador de Mandril</t>
  </si>
  <si>
    <t>Curvador de Tubos Manual 16 mm - Capacidade: tubos de cobre até 16mm (5/8"); Capacidade de curvatura: 180°; Possui um braço fixo para alinhar o tubo; Contém escalas para indicar o grau desejado a ser dobrado e presilha para segurar o tubo.</t>
  </si>
  <si>
    <t xml:space="preserve">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</si>
  <si>
    <t>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</si>
  <si>
    <t>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</si>
  <si>
    <t>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</si>
  <si>
    <t>Cortador de Cerâmicas - Capacidade de corte do cortador de cerâmica manual: 510 mm; Capacidade de corte diagonal do cortador de cerâmica manual: 360 mm; Dimensões (C x L x A): 630 x 160 x 90 mm</t>
  </si>
  <si>
    <t>Chave Grifo Tipo Americana 36 Pol. - Material do corpo da chave: Aço forjado; Acabamento da Chave: Pintado e polido; Capacidade de abertura da chave Grifo: 102 mm</t>
  </si>
  <si>
    <t>Vacuômetro Analógico -  Material: Latão , Tipo: Portátil , Modelo: Analógico , Capacidade: 250 , Características Adicionais: Calibrado, Agulha Latão, Escala De O A 76 Cm/Hg</t>
  </si>
  <si>
    <t>Capacímetro Digital - Display: LCD de 3 1/2 Dígitos , Características Adicionais: Com Holster, Entrada Protegida Por Fusível , Precisão: 0,5 PER, Capacitância Nominal: 0.1pf A 20.000 MICRO</t>
  </si>
  <si>
    <t>Jogo de Brocas Chatas de Aço Carbono para Madeira 1/4-1Pol - Jogo de brocas chatas de aço carbono para madeira, indicado para lâminas finas de madeira e derivados, sendo: Jogo com 7 peças, com medidas: 1/4", 5/16", 3/8", 1/2", 5/8", 3/4", 1"</t>
  </si>
  <si>
    <t>Jogo de Brocas 3 Pontas para Madeira com 8 Peças - Material em aço carbono, Composto por 8 peças: Brocas 3 pontas: 3,0 - 4,0 - 5,0 - 6,0 - 7,0 - 8,0 - 9,0 e 10,0 mm</t>
  </si>
  <si>
    <t>Pino 15mm para Pinador Pneumático - Especificações Técnicas:  :: Comprimento: 15 mm :: Tipo: Pino F :: Quantidade da Embalagem: 5.000 :: Dimensões do pino: 15 x 1,0 x 1,25 mm</t>
  </si>
  <si>
    <t>Grampos 10mm 20GA para Grampeadores Pneumáticos - Grampos 10mm para grampeadores pneumáticos; Dimensões: Largura: 11,2mm - Espessura: 0,6mm, Embalagem com 5.000 peças</t>
  </si>
  <si>
    <t>Máscara de Solda Automática - Área De Visão 42X92mm; Proteção Uv/Iv Din 13; Estado Visível Din 4; Escurecimento Din 9 ~ Din 13; Tempo De Polarização 0,0001 Seg; Tempo De Despolarização 0,20 ~ 1,00Seg; Peso 0,49 Kg. Marca / Modelo de Referência: TORK MSEA-901</t>
  </si>
  <si>
    <t>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t>
  </si>
  <si>
    <t>QUANTIDADE DE PROFISSIONAIS EMPREGADOS NA EXECUÇÃO DOS SERVIÇOS</t>
  </si>
  <si>
    <t>EQUIPAMENTOS</t>
  </si>
  <si>
    <t xml:space="preserve">Escada Extensiva Fibra de Vidro 4.20 m x 7.20 m - Confeccionados em fibra de vidro; Ddegraus das escadas são fabricados com alumínio 6061 com formato em D; Cinta de apoio para poste em correia lonada; Sapatas de Borracha antiderrapante </t>
  </si>
  <si>
    <t>Adaime Tubular - Andaime Material: Aço Carbono , Modelo: Tubular Modulado, Acessórios: Diagonal, Rodízio, Ferro, Painel Horizontal, Pranchão, Características Adicionais: Tipo "H" , Altura: 1,00 X 1,00</t>
  </si>
  <si>
    <t>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</si>
  <si>
    <t>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</si>
  <si>
    <t>Esmerilhadeira - Tipo: Angular , Voltagem: 110/220 V, Potência: 840 W, Rotação: 11.000 RPM, Diâmetro Disco: 4 1/2 PO</t>
  </si>
  <si>
    <t>Moto Esmeril Monofásico 6 Pol. 360W - Potência: 360W; Frequência: 60 Hz; Tensão: 220V; Rotação: 3450 rpm; Medidas do rebolo indicado (diâm. x esp. x furo): 6” x 5/8” x 1/2"; Diâmetro do eixo: 1/2" - 12,7mm. Acompanha: 2 Rebolos retos de 6” x 5/8” x 1/2", sendo 1 grão fino e 1 grão grosso</t>
  </si>
  <si>
    <t>Serra Mármore 1.300W - Potência: 1.300 NaN, Diâmetro Disco: 110 NaN, Diâmetro Furo Disco: 20 NaN, Voltagem: 220 NaN, Características Adicionais: Alto Torque, Rolamento Vedado Contra Pó.</t>
  </si>
  <si>
    <t>Serra tico-tico 500 W- Rotação: 3.100 RPM, Capacidade Corte Madeira: 55 MM, Capacidade Corte Aço: 6 MM, Capacidade Corte Alumínio: 10 MM, Aplicação: Marcenaria , Potência: 500 W, Tensão: 110/220</t>
  </si>
  <si>
    <t xml:space="preserve">Torno / Morsa de Bancada 8 Pol. - Mordentes em aço temperado e cementado; Mordentes substituíveis; Ferro fundido nodular; fuso forjado com rosca trapezoidal; Pintura eletrostática. </t>
  </si>
  <si>
    <t>Lavadora de Alta Pressão - Modelo: Monofásico, Vazão: 300 L/H, Tipo: Lava-Jato , Características Adicionais: Rodas, Gatilho Auto-Desligável, Misturador, Pistola , Tensão: 110/220 V, Pressão: 1800 PS</t>
  </si>
  <si>
    <t>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</si>
  <si>
    <t>Bomba de vácuo de 10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CFM / 283 L/M. Acessórios inclusos 01 Bomba de Vácuo, 01 Cabo de alimentação, 01 frasco de óleo para bomba.</t>
  </si>
  <si>
    <t>Conjunto Manifold  - Componentes: 2 Vias, 3 Mangueiras 900mm Para R12/R22/R502/R410A E Cor , Aplicação: Manutenção Central De Ar Condicionado , Características Adicionais: Escala Baixa 0 A 30 Mmhg, 0 A 250 Psig (Manovacuô)</t>
  </si>
  <si>
    <t>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t>
  </si>
  <si>
    <t>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t>
  </si>
  <si>
    <t>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t>
  </si>
  <si>
    <t>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t>
  </si>
  <si>
    <t>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t>
  </si>
  <si>
    <t>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t>
  </si>
  <si>
    <t>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t>
  </si>
  <si>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</si>
  <si>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</si>
  <si>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</si>
  <si>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(ANEXO IV)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</si>
  <si>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DIÁRIAS</t>
  </si>
  <si>
    <t>QUANTIDADE ESTIMADA ANUAL DE DIÁRIAS</t>
  </si>
  <si>
    <t>VALOR TOTAL ESTIMADO</t>
  </si>
  <si>
    <t>(A)</t>
  </si>
  <si>
    <t>(B)</t>
  </si>
  <si>
    <t>(C)=(A) X (B)</t>
  </si>
  <si>
    <t>TRIBUTAÇÃO INCIDENTE</t>
  </si>
  <si>
    <t>FATURAMENTO</t>
  </si>
  <si>
    <t>VALOR UNITÁRIO DA DIÁRIA</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</si>
  <si>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</si>
  <si>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</si>
  <si>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</si>
  <si>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</si>
  <si>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</si>
  <si>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</si>
  <si>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</si>
  <si>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</si>
  <si>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</si>
  <si>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</si>
  <si>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</si>
  <si>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PLANILHA RESUMO</t>
  </si>
  <si>
    <t>Quantidade</t>
  </si>
  <si>
    <t>VIGÊNCIA (Mês)</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</si>
  <si>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</si>
  <si>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</si>
  <si>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PEDREIRO - CBO: 7152-10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</si>
  <si>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</si>
  <si>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</si>
  <si>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PINTOR - CBO: 7166-10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</si>
  <si>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TÉCNICO EM MANUTENÇÃO - CBO: 3192-05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</si>
  <si>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TÉCNICO MECÂNICO EM REFRIGERAÇÃO - CBO: 7257-05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</si>
  <si>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</si>
  <si>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JARDINEIRO - CBO: 6220-10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</si>
  <si>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AJUDANTE DE CARGA E DESCARGA DE MERCADORIA - CBO: 7832-25</t>
    </r>
    <r>
      <rPr>
        <sz val="11"/>
        <color theme="1"/>
        <rFont val="Calibri"/>
        <charset val="134"/>
        <scheme val="minor"/>
      </rPr>
      <t>, em jornada semanal de 44 (quarenta e quatro) horas.</t>
    </r>
  </si>
  <si>
    <t>PAGAMENTO DE DIÁRIA NACIONAL</t>
  </si>
  <si>
    <t>Diária</t>
  </si>
</sst>
</file>

<file path=xl/styles.xml><?xml version="1.0" encoding="utf-8"?>
<styleSheet xmlns="http://schemas.openxmlformats.org/spreadsheetml/2006/main">
  <numFmts count="13">
    <numFmt numFmtId="176" formatCode="_-&quot;R$&quot;* #,##0_-;\-&quot;R$&quot;* #,##0_-;_-&quot;R$&quot;* &quot;-&quot;_-;_-@_-"/>
    <numFmt numFmtId="177" formatCode="&quot;R$&quot;\ #,##0.00_);[Red]\(&quot;R$&quot;\ #,##0.00\)"/>
    <numFmt numFmtId="178" formatCode="_-* #,##0.00_-;\-* #,##0.00_-;_-* &quot;-&quot;??_-;_-@_-"/>
    <numFmt numFmtId="179" formatCode="_-* #,##0_-;\-* #,##0_-;_-* &quot;-&quot;_-;_-@_-"/>
    <numFmt numFmtId="180" formatCode="_-&quot;R$ &quot;* #,##0.00_-;&quot;-R$ &quot;* #,##0.00_-;_-&quot;R$ &quot;* \-??_-;_-@_-"/>
    <numFmt numFmtId="181" formatCode="_-&quot;R$&quot;* #,##0.00_-;\-&quot;R$&quot;* #,##0.00_-;_-&quot;R$&quot;* &quot;-&quot;??_-;_-@_-"/>
    <numFmt numFmtId="182" formatCode="&quot;R$&quot;#,##0.00_);[Red]&quot;(R$&quot;#,##0.00\)"/>
    <numFmt numFmtId="183" formatCode="&quot;R$ &quot;#,##0.00"/>
    <numFmt numFmtId="184" formatCode="0.0000_ "/>
    <numFmt numFmtId="185" formatCode="&quot;R$&quot;#,##0.00_);[Red]\(&quot;R$&quot;#,##0.00\)"/>
    <numFmt numFmtId="186" formatCode="&quot;R$&quot;\ #,##0.00"/>
    <numFmt numFmtId="187" formatCode="0.00_ "/>
    <numFmt numFmtId="188" formatCode="&quot;R$&quot;#,##0.00"/>
  </numFmts>
  <fonts count="55">
    <font>
      <sz val="11"/>
      <color rgb="FF000000"/>
      <name val="Calibri"/>
      <charset val="134"/>
    </font>
    <font>
      <b/>
      <sz val="11"/>
      <color theme="1"/>
      <name val="Calibri"/>
      <charset val="134"/>
      <scheme val="minor"/>
    </font>
    <font>
      <sz val="11"/>
      <color theme="1"/>
      <name val="Calibri"/>
      <charset val="134"/>
      <scheme val="minor"/>
    </font>
    <font>
      <sz val="10.5"/>
      <color rgb="FF333333"/>
      <name val="Arial"/>
      <charset val="134"/>
    </font>
    <font>
      <b/>
      <sz val="12"/>
      <name val="Calibri"/>
      <charset val="134"/>
      <scheme val="minor"/>
    </font>
    <font>
      <sz val="11"/>
      <color indexed="8"/>
      <name val="Calibri"/>
      <charset val="134"/>
    </font>
    <font>
      <sz val="12"/>
      <name val="Calibri"/>
      <charset val="134"/>
      <scheme val="minor"/>
    </font>
    <font>
      <b/>
      <sz val="12"/>
      <color theme="0"/>
      <name val="Calibri"/>
      <charset val="134"/>
    </font>
    <font>
      <sz val="12"/>
      <name val="Calibri"/>
      <charset val="134"/>
    </font>
    <font>
      <sz val="12"/>
      <color indexed="8"/>
      <name val="Calibri"/>
      <charset val="134"/>
    </font>
    <font>
      <sz val="11"/>
      <name val="Calibri"/>
      <charset val="134"/>
      <scheme val="minor"/>
    </font>
    <font>
      <b/>
      <i/>
      <sz val="11"/>
      <name val="Calibri"/>
      <charset val="134"/>
    </font>
    <font>
      <b/>
      <i/>
      <sz val="11"/>
      <color rgb="FF000000"/>
      <name val="Calibri"/>
      <charset val="134"/>
    </font>
    <font>
      <i/>
      <sz val="11"/>
      <color rgb="FF000000"/>
      <name val="Calibri"/>
      <charset val="134"/>
    </font>
    <font>
      <b/>
      <i/>
      <sz val="11"/>
      <color theme="1"/>
      <name val="Calibri"/>
      <charset val="134"/>
      <scheme val="minor"/>
    </font>
    <font>
      <i/>
      <sz val="11"/>
      <name val="Calibri"/>
      <charset val="134"/>
      <scheme val="minor"/>
    </font>
    <font>
      <i/>
      <sz val="11"/>
      <name val="Calibri"/>
      <charset val="134"/>
    </font>
    <font>
      <b/>
      <sz val="11"/>
      <color theme="0"/>
      <name val="Calibri"/>
      <charset val="134"/>
      <scheme val="minor"/>
    </font>
    <font>
      <b/>
      <i/>
      <sz val="11"/>
      <color rgb="FF3F3F3F"/>
      <name val="Calibri"/>
      <charset val="134"/>
    </font>
    <font>
      <i/>
      <sz val="11"/>
      <name val="Times New Roman"/>
      <charset val="134"/>
    </font>
    <font>
      <b/>
      <sz val="11"/>
      <color theme="0"/>
      <name val="Calibri"/>
      <charset val="134"/>
    </font>
    <font>
      <b/>
      <sz val="11"/>
      <name val="Calibri"/>
      <charset val="134"/>
    </font>
    <font>
      <b/>
      <sz val="11"/>
      <color rgb="FF00000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sz val="11"/>
      <color theme="0"/>
      <name val="Calibri"/>
      <charset val="134"/>
    </font>
    <font>
      <sz val="11"/>
      <color rgb="FFF4B183"/>
      <name val="Calibri"/>
      <charset val="134"/>
    </font>
    <font>
      <sz val="11"/>
      <color rgb="FFFFFFFF"/>
      <name val="Calibri"/>
      <charset val="134"/>
    </font>
    <font>
      <b/>
      <sz val="11"/>
      <color rgb="FFFFFFFF"/>
      <name val="Calibri"/>
      <charset val="0"/>
      <scheme val="minor"/>
    </font>
    <font>
      <sz val="11"/>
      <color theme="1"/>
      <name val="Calibri"/>
      <charset val="0"/>
      <scheme val="minor"/>
    </font>
    <font>
      <sz val="10"/>
      <name val="Arial"/>
      <charset val="134"/>
    </font>
    <font>
      <sz val="11"/>
      <color rgb="FFFA7D00"/>
      <name val="Calibri"/>
      <charset val="0"/>
      <scheme val="minor"/>
    </font>
    <font>
      <u/>
      <sz val="11"/>
      <color rgb="FF800080"/>
      <name val="Calibri"/>
      <charset val="0"/>
      <scheme val="minor"/>
    </font>
    <font>
      <u/>
      <sz val="11"/>
      <color rgb="FF0000FF"/>
      <name val="Calibri"/>
      <charset val="0"/>
      <scheme val="minor"/>
    </font>
    <font>
      <sz val="11"/>
      <color rgb="FF006100"/>
      <name val="Calibri"/>
      <charset val="0"/>
      <scheme val="minor"/>
    </font>
    <font>
      <sz val="10"/>
      <color theme="1"/>
      <name val="Calibri"/>
      <charset val="134"/>
      <scheme val="minor"/>
    </font>
    <font>
      <b/>
      <sz val="11"/>
      <color theme="3"/>
      <name val="Calibri"/>
      <charset val="134"/>
      <scheme val="minor"/>
    </font>
    <font>
      <sz val="11"/>
      <color rgb="FFFF0000"/>
      <name val="Calibri"/>
      <charset val="0"/>
      <scheme val="minor"/>
    </font>
    <font>
      <b/>
      <sz val="18"/>
      <color theme="3"/>
      <name val="Calibri"/>
      <charset val="134"/>
      <scheme val="minor"/>
    </font>
    <font>
      <sz val="11"/>
      <color theme="0"/>
      <name val="Calibri"/>
      <charset val="0"/>
      <scheme val="minor"/>
    </font>
    <font>
      <i/>
      <sz val="11"/>
      <color rgb="FF7F7F7F"/>
      <name val="Calibri"/>
      <charset val="0"/>
      <scheme val="minor"/>
    </font>
    <font>
      <b/>
      <sz val="15"/>
      <color theme="3"/>
      <name val="Calibri"/>
      <charset val="134"/>
      <scheme val="minor"/>
    </font>
    <font>
      <sz val="11"/>
      <color rgb="FF9C0006"/>
      <name val="Calibri"/>
      <charset val="0"/>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1"/>
      <color rgb="FFFA7D00"/>
      <name val="Calibri"/>
      <charset val="0"/>
      <scheme val="minor"/>
    </font>
    <font>
      <b/>
      <sz val="11"/>
      <color theme="1"/>
      <name val="Calibri"/>
      <charset val="0"/>
      <scheme val="minor"/>
    </font>
    <font>
      <sz val="11"/>
      <color rgb="FF9C6500"/>
      <name val="Calibri"/>
      <charset val="0"/>
      <scheme val="minor"/>
    </font>
    <font>
      <i/>
      <sz val="11"/>
      <name val="Arial"/>
      <charset val="134"/>
    </font>
    <font>
      <sz val="10"/>
      <color rgb="FF000000"/>
      <name val="Calibri"/>
      <charset val="134"/>
    </font>
    <font>
      <u/>
      <sz val="11"/>
      <color rgb="FFF4B183"/>
      <name val="Calibri"/>
      <charset val="134"/>
    </font>
    <font>
      <sz val="9"/>
      <name val="Tahoma"/>
      <charset val="134"/>
    </font>
  </fonts>
  <fills count="51">
    <fill>
      <patternFill patternType="none"/>
    </fill>
    <fill>
      <patternFill patternType="gray125"/>
    </fill>
    <fill>
      <patternFill patternType="solid">
        <fgColor theme="9"/>
        <bgColor theme="9"/>
      </patternFill>
    </fill>
    <fill>
      <patternFill patternType="solid">
        <fgColor theme="9"/>
        <bgColor indexed="64"/>
      </patternFill>
    </fill>
    <fill>
      <patternFill patternType="solid">
        <fgColor theme="9" tint="0.4"/>
        <bgColor indexed="64"/>
      </patternFill>
    </fill>
    <fill>
      <patternFill patternType="solid">
        <fgColor theme="9" tint="0.6"/>
        <bgColor indexed="64"/>
      </patternFill>
    </fill>
    <fill>
      <patternFill patternType="solid">
        <fgColor theme="5" tint="0.4"/>
        <bgColor indexed="64"/>
      </patternFill>
    </fill>
    <fill>
      <patternFill patternType="solid">
        <fgColor rgb="FF70AD47"/>
        <bgColor indexed="64"/>
      </patternFill>
    </fill>
    <fill>
      <patternFill patternType="solid">
        <fgColor rgb="FFC5E0B4"/>
        <bgColor indexed="64"/>
      </patternFill>
    </fill>
    <fill>
      <patternFill patternType="solid">
        <fgColor rgb="FFF4B183"/>
        <bgColor indexed="64"/>
      </patternFill>
    </fill>
    <fill>
      <patternFill patternType="solid">
        <fgColor rgb="FFE2F0D9"/>
        <bgColor indexed="64"/>
      </patternFill>
    </fill>
    <fill>
      <patternFill patternType="solid">
        <fgColor theme="9" tint="0.8"/>
        <bgColor indexed="64"/>
      </patternFill>
    </fill>
    <fill>
      <patternFill patternType="solid">
        <fgColor theme="0" tint="-0.5"/>
        <bgColor indexed="64"/>
      </patternFill>
    </fill>
    <fill>
      <patternFill patternType="solid">
        <fgColor rgb="FFD7D7D7"/>
        <bgColor indexed="64"/>
      </patternFill>
    </fill>
    <fill>
      <patternFill patternType="solid">
        <fgColor theme="0" tint="-0.15"/>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rgb="FFF2F2F2"/>
        <bgColor rgb="FFE2F0D9"/>
      </patternFill>
    </fill>
    <fill>
      <patternFill patternType="solid">
        <fgColor rgb="FFA5A5A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bgColor indexed="64"/>
      </patternFill>
    </fill>
    <fill>
      <patternFill patternType="solid">
        <fgColor rgb="FFFFC7CE"/>
        <bgColor indexed="64"/>
      </patternFill>
    </fill>
    <fill>
      <patternFill patternType="solid">
        <fgColor theme="7"/>
        <bgColor indexed="64"/>
      </patternFill>
    </fill>
    <fill>
      <patternFill patternType="solid">
        <fgColor theme="5"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C99"/>
        <bgColor indexed="64"/>
      </patternFill>
    </fill>
    <fill>
      <patternFill patternType="solid">
        <fgColor rgb="FFFFEB9C"/>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45">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medium">
        <color auto="1"/>
      </left>
      <right/>
      <top style="medium">
        <color auto="1"/>
      </top>
      <bottom style="thick">
        <color theme="4"/>
      </bottom>
      <diagonal/>
    </border>
    <border>
      <left/>
      <right/>
      <top style="medium">
        <color auto="1"/>
      </top>
      <bottom style="thick">
        <color theme="4"/>
      </bottom>
      <diagonal/>
    </border>
    <border>
      <left/>
      <right style="medium">
        <color auto="1"/>
      </right>
      <top style="medium">
        <color auto="1"/>
      </top>
      <bottom style="thick">
        <color theme="4"/>
      </bottom>
      <diagonal/>
    </border>
    <border>
      <left style="medium">
        <color auto="1"/>
      </left>
      <right/>
      <top/>
      <bottom style="thick">
        <color theme="4"/>
      </bottom>
      <diagonal/>
    </border>
    <border>
      <left/>
      <right/>
      <top/>
      <bottom style="thick">
        <color theme="4"/>
      </bottom>
      <diagonal/>
    </border>
    <border>
      <left/>
      <right/>
      <top style="thick">
        <color theme="4"/>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style="thin">
        <color rgb="FFFFFFFF"/>
      </left>
      <right/>
      <top/>
      <bottom style="thick">
        <color rgb="FFFFFFFF"/>
      </bottom>
      <diagonal/>
    </border>
    <border>
      <left/>
      <right/>
      <top/>
      <bottom style="thick">
        <color rgb="FFFFFFFF"/>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right style="medium">
        <color auto="1"/>
      </right>
      <top/>
      <bottom style="thick">
        <color theme="4"/>
      </bottom>
      <diagonal/>
    </border>
    <border>
      <left style="medium">
        <color auto="1"/>
      </left>
      <right/>
      <top style="thick">
        <color theme="4"/>
      </top>
      <bottom/>
      <diagonal/>
    </border>
    <border>
      <left/>
      <right/>
      <top style="thick">
        <color theme="4"/>
      </top>
      <bottom/>
      <diagonal/>
    </border>
    <border>
      <left style="medium">
        <color auto="1"/>
      </left>
      <right/>
      <top style="thick">
        <color theme="4"/>
      </top>
      <bottom style="thick">
        <color theme="4"/>
      </bottom>
      <diagonal/>
    </border>
    <border>
      <left style="medium">
        <color auto="1"/>
      </left>
      <right style="medium">
        <color auto="1"/>
      </right>
      <top style="medium">
        <color auto="1"/>
      </top>
      <bottom style="medium">
        <color auto="1"/>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style="thin">
        <color rgb="FFFFFFFF"/>
      </top>
      <bottom style="thin">
        <color rgb="FFFFFFFF"/>
      </bottom>
      <diagonal/>
    </border>
    <border>
      <left style="thin">
        <color auto="1"/>
      </left>
      <right style="thin">
        <color auto="1"/>
      </right>
      <top style="thin">
        <color auto="1"/>
      </top>
      <bottom/>
      <diagonal/>
    </border>
    <border>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49">
    <xf numFmtId="0" fontId="0" fillId="0" borderId="0"/>
    <xf numFmtId="176" fontId="32" fillId="0" borderId="0" applyBorder="0" applyAlignment="0" applyProtection="0"/>
    <xf numFmtId="179" fontId="32" fillId="0" borderId="0" applyBorder="0" applyAlignment="0" applyProtection="0"/>
    <xf numFmtId="0" fontId="31" fillId="24" borderId="0" applyNumberFormat="0" applyBorder="0" applyAlignment="0" applyProtection="0">
      <alignment vertical="center"/>
    </xf>
    <xf numFmtId="9" fontId="0" fillId="0" borderId="0" applyBorder="0" applyProtection="0"/>
    <xf numFmtId="0" fontId="33" fillId="0" borderId="38" applyNumberFormat="0" applyFill="0" applyAlignment="0" applyProtection="0">
      <alignment vertical="center"/>
    </xf>
    <xf numFmtId="0" fontId="30" fillId="21" borderId="37" applyNumberFormat="0" applyAlignment="0" applyProtection="0">
      <alignment vertical="center"/>
    </xf>
    <xf numFmtId="178" fontId="32" fillId="0" borderId="0" applyBorder="0" applyAlignment="0" applyProtection="0"/>
    <xf numFmtId="0" fontId="31" fillId="25" borderId="0" applyNumberFormat="0" applyBorder="0" applyAlignment="0" applyProtection="0">
      <alignment vertical="center"/>
    </xf>
    <xf numFmtId="180" fontId="0" fillId="0" borderId="0" applyBorder="0" applyProtection="0"/>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1" fillId="27" borderId="0" applyNumberFormat="0" applyBorder="0" applyAlignment="0" applyProtection="0">
      <alignment vertical="center"/>
    </xf>
    <xf numFmtId="0" fontId="37" fillId="28" borderId="39" applyNumberFormat="0" applyFont="0" applyAlignment="0" applyProtection="0">
      <alignment vertical="center"/>
    </xf>
    <xf numFmtId="0" fontId="31" fillId="29" borderId="0" applyNumberFormat="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1" fillId="31" borderId="0" applyNumberFormat="0" applyBorder="0" applyAlignment="0" applyProtection="0">
      <alignment vertical="center"/>
    </xf>
    <xf numFmtId="0" fontId="43" fillId="0" borderId="40" applyNumberFormat="0" applyFill="0" applyAlignment="0" applyProtection="0">
      <alignment vertical="center"/>
    </xf>
    <xf numFmtId="0" fontId="41" fillId="33" borderId="0" applyNumberFormat="0" applyBorder="0" applyAlignment="0" applyProtection="0">
      <alignment vertical="center"/>
    </xf>
    <xf numFmtId="0" fontId="45" fillId="0" borderId="40" applyNumberFormat="0" applyFill="0" applyAlignment="0" applyProtection="0">
      <alignment vertical="center"/>
    </xf>
    <xf numFmtId="0" fontId="41" fillId="35" borderId="0" applyNumberFormat="0" applyBorder="0" applyAlignment="0" applyProtection="0">
      <alignment vertical="center"/>
    </xf>
    <xf numFmtId="0" fontId="38" fillId="0" borderId="41" applyNumberFormat="0" applyFill="0" applyAlignment="0" applyProtection="0">
      <alignment vertical="center"/>
    </xf>
    <xf numFmtId="0" fontId="41" fillId="3" borderId="0" applyNumberFormat="0" applyBorder="0" applyAlignment="0" applyProtection="0">
      <alignment vertical="center"/>
    </xf>
    <xf numFmtId="0" fontId="38" fillId="0" borderId="0" applyNumberFormat="0" applyFill="0" applyBorder="0" applyAlignment="0" applyProtection="0">
      <alignment vertical="center"/>
    </xf>
    <xf numFmtId="0" fontId="47" fillId="38" borderId="43" applyNumberFormat="0" applyAlignment="0" applyProtection="0">
      <alignment vertical="center"/>
    </xf>
    <xf numFmtId="0" fontId="46" fillId="37" borderId="42" applyNumberFormat="0" applyAlignment="0" applyProtection="0">
      <alignment vertical="center"/>
    </xf>
    <xf numFmtId="0" fontId="48" fillId="37" borderId="43" applyNumberFormat="0" applyAlignment="0" applyProtection="0">
      <alignment vertical="center"/>
    </xf>
    <xf numFmtId="0" fontId="49" fillId="0" borderId="44" applyNumberFormat="0" applyFill="0" applyAlignment="0" applyProtection="0">
      <alignment vertical="center"/>
    </xf>
    <xf numFmtId="0" fontId="31" fillId="22" borderId="0" applyNumberFormat="0" applyBorder="0" applyAlignment="0" applyProtection="0">
      <alignment vertical="center"/>
    </xf>
    <xf numFmtId="0" fontId="36" fillId="26" borderId="0" applyNumberFormat="0" applyBorder="0" applyAlignment="0" applyProtection="0">
      <alignment vertical="center"/>
    </xf>
    <xf numFmtId="0" fontId="44" fillId="32" borderId="0" applyNumberFormat="0" applyBorder="0" applyAlignment="0" applyProtection="0">
      <alignment vertical="center"/>
    </xf>
    <xf numFmtId="0" fontId="50" fillId="39" borderId="0" applyNumberFormat="0" applyBorder="0" applyAlignment="0" applyProtection="0">
      <alignment vertical="center"/>
    </xf>
    <xf numFmtId="0" fontId="31" fillId="41" borderId="0" applyNumberFormat="0" applyBorder="0" applyAlignment="0" applyProtection="0">
      <alignment vertical="center"/>
    </xf>
    <xf numFmtId="0" fontId="41" fillId="42" borderId="0" applyNumberFormat="0" applyBorder="0" applyAlignment="0" applyProtection="0">
      <alignment vertical="center"/>
    </xf>
    <xf numFmtId="0" fontId="31" fillId="43" borderId="0" applyNumberFormat="0" applyBorder="0" applyAlignment="0" applyProtection="0">
      <alignment vertical="center"/>
    </xf>
    <xf numFmtId="0" fontId="41" fillId="40" borderId="0" applyNumberFormat="0" applyBorder="0" applyAlignment="0" applyProtection="0">
      <alignment vertical="center"/>
    </xf>
    <xf numFmtId="0" fontId="31" fillId="23" borderId="0" applyNumberFormat="0" applyBorder="0" applyAlignment="0" applyProtection="0">
      <alignment vertical="center"/>
    </xf>
    <xf numFmtId="0" fontId="41" fillId="44" borderId="0" applyNumberFormat="0" applyBorder="0" applyAlignment="0" applyProtection="0">
      <alignment vertical="center"/>
    </xf>
    <xf numFmtId="0" fontId="31" fillId="45" borderId="0" applyNumberFormat="0" applyBorder="0" applyAlignment="0" applyProtection="0">
      <alignment vertical="center"/>
    </xf>
    <xf numFmtId="0" fontId="41" fillId="34" borderId="0" applyNumberFormat="0" applyBorder="0" applyAlignment="0" applyProtection="0">
      <alignment vertical="center"/>
    </xf>
    <xf numFmtId="0" fontId="31" fillId="36" borderId="0" applyNumberFormat="0" applyBorder="0" applyAlignment="0" applyProtection="0">
      <alignment vertical="center"/>
    </xf>
    <xf numFmtId="0" fontId="41" fillId="46" borderId="0" applyNumberFormat="0" applyBorder="0" applyAlignment="0" applyProtection="0">
      <alignment vertical="center"/>
    </xf>
    <xf numFmtId="0" fontId="31" fillId="47" borderId="0" applyNumberFormat="0" applyBorder="0" applyAlignment="0" applyProtection="0">
      <alignment vertical="center"/>
    </xf>
    <xf numFmtId="0" fontId="41" fillId="30" borderId="0" applyNumberFormat="0" applyBorder="0" applyAlignment="0" applyProtection="0">
      <alignment vertical="center"/>
    </xf>
    <xf numFmtId="0" fontId="31" fillId="48" borderId="0" applyNumberFormat="0" applyBorder="0" applyAlignment="0" applyProtection="0">
      <alignment vertical="center"/>
    </xf>
    <xf numFmtId="0" fontId="41" fillId="49" borderId="0" applyNumberFormat="0" applyBorder="0" applyAlignment="0" applyProtection="0">
      <alignment vertical="center"/>
    </xf>
    <xf numFmtId="0" fontId="41" fillId="50" borderId="0" applyNumberFormat="0" applyBorder="0" applyAlignment="0" applyProtection="0">
      <alignment vertical="center"/>
    </xf>
  </cellStyleXfs>
  <cellXfs count="245">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177" fontId="2" fillId="0" borderId="0" xfId="0" applyNumberFormat="1" applyFont="1" applyFill="1" applyAlignment="1">
      <alignment horizontal="center" vertical="center"/>
    </xf>
    <xf numFmtId="183" fontId="2" fillId="0" borderId="0" xfId="0" applyNumberFormat="1" applyFont="1" applyFill="1" applyAlignment="1">
      <alignment horizontal="center" vertical="center"/>
    </xf>
    <xf numFmtId="0" fontId="2" fillId="0" borderId="0" xfId="0" applyFont="1" applyFill="1" applyAlignment="1">
      <alignment vertical="center"/>
    </xf>
    <xf numFmtId="181" fontId="2" fillId="0" borderId="0" xfId="0" applyNumberFormat="1" applyFont="1" applyFill="1" applyAlignment="1">
      <alignment horizontal="center" vertical="center"/>
    </xf>
    <xf numFmtId="0" fontId="3" fillId="0" borderId="0" xfId="0" applyFont="1"/>
    <xf numFmtId="0" fontId="4" fillId="3" borderId="4" xfId="19" applyFont="1" applyFill="1" applyBorder="1" applyAlignment="1">
      <alignment horizontal="center"/>
    </xf>
    <xf numFmtId="0" fontId="4" fillId="3" borderId="5" xfId="19" applyFont="1" applyFill="1" applyBorder="1" applyAlignment="1">
      <alignment horizontal="center"/>
    </xf>
    <xf numFmtId="0" fontId="4" fillId="3" borderId="6" xfId="19" applyFont="1" applyFill="1" applyBorder="1" applyAlignment="1">
      <alignment horizontal="center"/>
    </xf>
    <xf numFmtId="0" fontId="2" fillId="0" borderId="0" xfId="0" applyFont="1" applyFill="1" applyAlignment="1"/>
    <xf numFmtId="0" fontId="4" fillId="4" borderId="7" xfId="19" applyFont="1" applyFill="1" applyBorder="1" applyAlignment="1">
      <alignment horizontal="center" vertical="center" wrapText="1"/>
    </xf>
    <xf numFmtId="0" fontId="4" fillId="4" borderId="8" xfId="19" applyFont="1" applyFill="1" applyBorder="1" applyAlignment="1">
      <alignment horizontal="center" vertical="center" wrapText="1"/>
    </xf>
    <xf numFmtId="0" fontId="4" fillId="4" borderId="9" xfId="19" applyFont="1" applyFill="1" applyBorder="1" applyAlignment="1">
      <alignment horizontal="center" vertical="center" wrapText="1"/>
    </xf>
    <xf numFmtId="0" fontId="4" fillId="4" borderId="10" xfId="19" applyFont="1" applyFill="1" applyBorder="1" applyAlignment="1">
      <alignment horizontal="center" vertical="center" wrapText="1"/>
    </xf>
    <xf numFmtId="0" fontId="4" fillId="5" borderId="7" xfId="19" applyFont="1" applyFill="1" applyBorder="1" applyAlignment="1">
      <alignment horizontal="center" vertical="center" wrapText="1"/>
    </xf>
    <xf numFmtId="0" fontId="4" fillId="5" borderId="8" xfId="19" applyFont="1" applyFill="1" applyBorder="1" applyAlignment="1">
      <alignment horizontal="center" vertical="center" wrapText="1"/>
    </xf>
    <xf numFmtId="0" fontId="4" fillId="5" borderId="9" xfId="19" applyFont="1" applyFill="1" applyBorder="1" applyAlignment="1">
      <alignment horizontal="center" vertical="center"/>
    </xf>
    <xf numFmtId="0" fontId="4" fillId="5" borderId="10" xfId="19" applyFont="1" applyFill="1" applyBorder="1" applyAlignment="1">
      <alignment horizontal="center" vertical="center"/>
    </xf>
    <xf numFmtId="0" fontId="4" fillId="6" borderId="7" xfId="19" applyFont="1" applyFill="1" applyBorder="1" applyAlignment="1">
      <alignment horizontal="center" vertical="center"/>
    </xf>
    <xf numFmtId="181" fontId="4" fillId="6" borderId="8" xfId="9" applyNumberFormat="1" applyFont="1" applyFill="1" applyBorder="1" applyAlignment="1">
      <alignment horizontal="center" vertical="center"/>
    </xf>
    <xf numFmtId="181" fontId="4" fillId="6" borderId="9" xfId="9" applyNumberFormat="1" applyFont="1" applyFill="1" applyBorder="1" applyAlignment="1">
      <alignment horizontal="center" vertical="center"/>
    </xf>
    <xf numFmtId="181" fontId="4" fillId="6" borderId="10" xfId="9" applyNumberFormat="1" applyFont="1" applyFill="1" applyBorder="1" applyAlignment="1">
      <alignment horizontal="center" vertical="center"/>
    </xf>
    <xf numFmtId="0" fontId="5" fillId="0" borderId="0" xfId="0" applyNumberFormat="1" applyFont="1" applyFill="1" applyBorder="1" applyAlignment="1" applyProtection="1"/>
    <xf numFmtId="0" fontId="6" fillId="0" borderId="11" xfId="0" applyFont="1" applyFill="1" applyBorder="1" applyAlignment="1"/>
    <xf numFmtId="0" fontId="6" fillId="0" borderId="0" xfId="0" applyFont="1" applyFill="1" applyBorder="1" applyAlignment="1"/>
    <xf numFmtId="0" fontId="6" fillId="0" borderId="12" xfId="0" applyFont="1" applyFill="1" applyBorder="1" applyAlignment="1"/>
    <xf numFmtId="0" fontId="7" fillId="7" borderId="13" xfId="0" applyNumberFormat="1" applyFont="1" applyFill="1" applyBorder="1" applyAlignment="1" applyProtection="1">
      <alignment horizontal="center" vertical="center"/>
    </xf>
    <xf numFmtId="0" fontId="7" fillId="7" borderId="14" xfId="0" applyNumberFormat="1" applyFont="1" applyFill="1" applyBorder="1" applyAlignment="1" applyProtection="1">
      <alignment horizontal="center" vertical="center"/>
    </xf>
    <xf numFmtId="0" fontId="8" fillId="8" borderId="15" xfId="0" applyNumberFormat="1" applyFont="1" applyFill="1" applyBorder="1" applyAlignment="1" applyProtection="1">
      <alignment horizontal="left" vertical="center"/>
    </xf>
    <xf numFmtId="10" fontId="8" fillId="9" borderId="0" xfId="0" applyNumberFormat="1" applyFont="1" applyFill="1" applyBorder="1" applyAlignment="1" applyProtection="1">
      <alignment horizontal="center" vertical="center"/>
    </xf>
    <xf numFmtId="0" fontId="8" fillId="10" borderId="16" xfId="0" applyNumberFormat="1" applyFont="1" applyFill="1" applyBorder="1" applyAlignment="1" applyProtection="1">
      <alignment horizontal="left" vertical="center"/>
    </xf>
    <xf numFmtId="182" fontId="8" fillId="9" borderId="0" xfId="0" applyNumberFormat="1" applyFont="1" applyFill="1" applyBorder="1" applyAlignment="1" applyProtection="1">
      <alignment horizontal="center"/>
    </xf>
    <xf numFmtId="181" fontId="4" fillId="0" borderId="17" xfId="19" applyNumberFormat="1" applyFont="1" applyBorder="1" applyAlignment="1">
      <alignment horizontal="center" vertical="center" wrapText="1"/>
    </xf>
    <xf numFmtId="184" fontId="8" fillId="9" borderId="0" xfId="0" applyNumberFormat="1" applyFont="1" applyFill="1" applyBorder="1" applyAlignment="1" applyProtection="1">
      <alignment horizontal="center" vertical="center"/>
    </xf>
    <xf numFmtId="0" fontId="4" fillId="5" borderId="18" xfId="0" applyFont="1" applyFill="1" applyBorder="1" applyAlignment="1">
      <alignment horizontal="center" vertical="center"/>
    </xf>
    <xf numFmtId="0" fontId="4" fillId="5" borderId="19"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NumberFormat="1" applyFont="1" applyFill="1" applyBorder="1" applyAlignment="1" applyProtection="1"/>
    <xf numFmtId="0" fontId="6" fillId="5" borderId="11" xfId="0" applyFont="1" applyFill="1" applyBorder="1" applyAlignment="1">
      <alignment horizontal="left" vertical="top"/>
    </xf>
    <xf numFmtId="0" fontId="6" fillId="5" borderId="0" xfId="0" applyFont="1" applyFill="1" applyBorder="1" applyAlignment="1">
      <alignment horizontal="left" vertical="top"/>
    </xf>
    <xf numFmtId="10" fontId="6" fillId="6" borderId="0" xfId="4" applyNumberFormat="1" applyFont="1" applyFill="1" applyBorder="1" applyAlignment="1">
      <alignment horizontal="center" vertical="center"/>
    </xf>
    <xf numFmtId="181" fontId="6" fillId="6" borderId="12" xfId="9" applyNumberFormat="1" applyFont="1" applyFill="1" applyBorder="1" applyAlignment="1">
      <alignment horizontal="center" vertical="center"/>
    </xf>
    <xf numFmtId="0" fontId="6" fillId="11" borderId="11" xfId="0" applyFont="1" applyFill="1" applyBorder="1" applyAlignment="1">
      <alignment horizontal="left" vertical="top"/>
    </xf>
    <xf numFmtId="0" fontId="6" fillId="11" borderId="0" xfId="0" applyFont="1" applyFill="1" applyBorder="1" applyAlignment="1">
      <alignment horizontal="left" vertical="top"/>
    </xf>
    <xf numFmtId="0" fontId="4" fillId="4" borderId="20" xfId="19" applyFont="1" applyFill="1" applyBorder="1" applyAlignment="1">
      <alignment horizontal="center" vertical="center" wrapText="1"/>
    </xf>
    <xf numFmtId="181" fontId="4" fillId="6" borderId="21" xfId="19" applyNumberFormat="1" applyFont="1" applyFill="1" applyBorder="1" applyAlignment="1">
      <alignment horizontal="center" vertical="center" wrapText="1"/>
    </xf>
    <xf numFmtId="0" fontId="4" fillId="5" borderId="20" xfId="19" applyFont="1" applyFill="1" applyBorder="1" applyAlignment="1">
      <alignment horizontal="center" vertical="center" wrapText="1"/>
    </xf>
    <xf numFmtId="0" fontId="4" fillId="5" borderId="9" xfId="19" applyFont="1" applyFill="1" applyBorder="1" applyAlignment="1">
      <alignment horizontal="center" vertical="center" wrapText="1"/>
    </xf>
    <xf numFmtId="0" fontId="4" fillId="5" borderId="10" xfId="19" applyFont="1" applyFill="1" applyBorder="1" applyAlignment="1">
      <alignment horizontal="center" vertical="center" wrapText="1"/>
    </xf>
    <xf numFmtId="0" fontId="4" fillId="11" borderId="18" xfId="0" applyFont="1" applyFill="1" applyBorder="1" applyAlignment="1">
      <alignment horizontal="center" vertical="center"/>
    </xf>
    <xf numFmtId="0" fontId="4" fillId="11" borderId="19" xfId="0" applyFont="1" applyFill="1" applyBorder="1" applyAlignment="1">
      <alignment horizontal="center" vertical="center"/>
    </xf>
    <xf numFmtId="0" fontId="4" fillId="11" borderId="0" xfId="0" applyFont="1" applyFill="1" applyBorder="1" applyAlignment="1">
      <alignment horizontal="center" vertical="center"/>
    </xf>
    <xf numFmtId="0" fontId="4" fillId="11" borderId="12" xfId="0" applyFont="1" applyFill="1" applyBorder="1" applyAlignment="1">
      <alignment horizontal="center" vertical="center"/>
    </xf>
    <xf numFmtId="181" fontId="6" fillId="6" borderId="12" xfId="9" applyNumberFormat="1" applyFont="1" applyFill="1" applyBorder="1"/>
    <xf numFmtId="0" fontId="4" fillId="11" borderId="11" xfId="0" applyFont="1" applyFill="1" applyBorder="1" applyAlignment="1">
      <alignment horizontal="center"/>
    </xf>
    <xf numFmtId="0" fontId="4" fillId="11" borderId="0" xfId="0" applyFont="1" applyFill="1" applyBorder="1" applyAlignment="1">
      <alignment horizontal="center"/>
    </xf>
    <xf numFmtId="10" fontId="4" fillId="6" borderId="0" xfId="0" applyNumberFormat="1" applyFont="1" applyFill="1" applyBorder="1" applyAlignment="1">
      <alignment horizontal="center" vertical="center"/>
    </xf>
    <xf numFmtId="181" fontId="4" fillId="6" borderId="12" xfId="0" applyNumberFormat="1" applyFont="1" applyFill="1" applyBorder="1" applyAlignment="1">
      <alignment horizontal="center" vertical="center"/>
    </xf>
    <xf numFmtId="0" fontId="4" fillId="3" borderId="20" xfId="19" applyFont="1" applyFill="1" applyBorder="1" applyAlignment="1">
      <alignment horizontal="center" vertical="center" wrapText="1"/>
    </xf>
    <xf numFmtId="0" fontId="4" fillId="3" borderId="9" xfId="19" applyFont="1" applyFill="1" applyBorder="1" applyAlignment="1">
      <alignment horizontal="center" vertical="center" wrapText="1"/>
    </xf>
    <xf numFmtId="0" fontId="4" fillId="3" borderId="10" xfId="19" applyFont="1" applyFill="1" applyBorder="1" applyAlignment="1">
      <alignment horizontal="center" vertical="center" wrapText="1"/>
    </xf>
    <xf numFmtId="181" fontId="4" fillId="3" borderId="21" xfId="19" applyNumberFormat="1" applyFont="1" applyFill="1" applyBorder="1" applyAlignment="1">
      <alignment horizontal="center" vertical="center" wrapText="1"/>
    </xf>
    <xf numFmtId="0" fontId="10" fillId="0" borderId="0" xfId="0" applyFont="1" applyFill="1" applyAlignment="1"/>
    <xf numFmtId="0" fontId="2" fillId="0" borderId="0" xfId="0" applyFont="1" applyFill="1" applyAlignment="1">
      <alignment vertical="center" wrapText="1"/>
    </xf>
    <xf numFmtId="0" fontId="11" fillId="12" borderId="0" xfId="0" applyFont="1" applyFill="1" applyAlignment="1">
      <alignment horizontal="center" vertical="center"/>
    </xf>
    <xf numFmtId="0" fontId="12" fillId="13" borderId="0" xfId="0" applyFont="1" applyFill="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justify" vertical="center" wrapText="1"/>
    </xf>
    <xf numFmtId="185" fontId="0" fillId="6" borderId="0" xfId="0" applyNumberFormat="1" applyFill="1" applyAlignment="1">
      <alignment horizontal="center" vertical="center"/>
    </xf>
    <xf numFmtId="185" fontId="0" fillId="0" borderId="0" xfId="0" applyNumberFormat="1" applyAlignment="1">
      <alignment horizontal="center" vertical="center"/>
    </xf>
    <xf numFmtId="0" fontId="13" fillId="0" borderId="0" xfId="0" applyFont="1" applyAlignment="1">
      <alignment horizontal="justify" vertical="center"/>
    </xf>
    <xf numFmtId="0" fontId="12" fillId="12" borderId="0" xfId="0" applyFont="1" applyFill="1" applyAlignment="1">
      <alignment horizontal="center"/>
    </xf>
    <xf numFmtId="185" fontId="12" fillId="12" borderId="0" xfId="0" applyNumberFormat="1" applyFont="1" applyFill="1" applyAlignment="1">
      <alignment horizontal="center"/>
    </xf>
    <xf numFmtId="0" fontId="14" fillId="12" borderId="0" xfId="0" applyFont="1" applyFill="1" applyAlignment="1">
      <alignment horizontal="center"/>
    </xf>
    <xf numFmtId="0" fontId="15" fillId="14" borderId="0" xfId="0" applyFont="1" applyFill="1" applyAlignment="1">
      <alignment horizontal="center" vertical="center"/>
    </xf>
    <xf numFmtId="0" fontId="16" fillId="14" borderId="0" xfId="0" applyFont="1" applyFill="1" applyAlignment="1">
      <alignment horizontal="center" vertical="center"/>
    </xf>
    <xf numFmtId="0" fontId="15" fillId="14" borderId="0" xfId="0" applyFont="1" applyFill="1" applyAlignment="1">
      <alignment horizontal="center" vertical="center" wrapText="1"/>
    </xf>
    <xf numFmtId="0" fontId="2" fillId="0" borderId="0" xfId="0" applyFont="1" applyFill="1" applyAlignment="1">
      <alignment horizontal="center"/>
    </xf>
    <xf numFmtId="0" fontId="2" fillId="0" borderId="0" xfId="0" applyFont="1" applyFill="1" applyAlignment="1">
      <alignment wrapText="1"/>
    </xf>
    <xf numFmtId="186" fontId="2" fillId="0" borderId="0" xfId="0" applyNumberFormat="1" applyFont="1" applyFill="1" applyAlignment="1">
      <alignment horizontal="center" vertical="center"/>
    </xf>
    <xf numFmtId="0" fontId="17" fillId="3" borderId="22" xfId="0" applyFont="1" applyFill="1" applyBorder="1" applyAlignment="1">
      <alignment horizontal="center"/>
    </xf>
    <xf numFmtId="0" fontId="17" fillId="3" borderId="23" xfId="0" applyFont="1" applyFill="1" applyBorder="1" applyAlignment="1">
      <alignment horizontal="center"/>
    </xf>
    <xf numFmtId="0" fontId="17" fillId="3" borderId="24" xfId="0" applyFont="1" applyFill="1" applyBorder="1" applyAlignment="1">
      <alignment horizontal="center"/>
    </xf>
    <xf numFmtId="186" fontId="17" fillId="3" borderId="25" xfId="0" applyNumberFormat="1" applyFont="1" applyFill="1" applyBorder="1" applyAlignment="1">
      <alignment horizontal="center"/>
    </xf>
    <xf numFmtId="0" fontId="17" fillId="3" borderId="26" xfId="0" applyFont="1" applyFill="1" applyBorder="1" applyAlignment="1">
      <alignment horizontal="center"/>
    </xf>
    <xf numFmtId="186" fontId="17" fillId="3" borderId="26" xfId="0" applyNumberFormat="1" applyFont="1" applyFill="1" applyBorder="1" applyAlignment="1">
      <alignment horizontal="center"/>
    </xf>
    <xf numFmtId="0" fontId="17" fillId="3" borderId="26" xfId="0" applyNumberFormat="1" applyFont="1" applyFill="1" applyBorder="1" applyAlignment="1">
      <alignment horizontal="center"/>
    </xf>
    <xf numFmtId="0" fontId="1" fillId="0" borderId="0" xfId="0" applyFont="1" applyFill="1" applyAlignment="1">
      <alignment horizontal="justify" wrapText="1"/>
    </xf>
    <xf numFmtId="0" fontId="2" fillId="0" borderId="0" xfId="0" applyFont="1" applyFill="1" applyAlignment="1">
      <alignment horizontal="justify" wrapText="1"/>
    </xf>
    <xf numFmtId="0" fontId="11" fillId="12" borderId="0" xfId="0" applyFont="1" applyFill="1" applyAlignment="1">
      <alignment horizontal="center"/>
    </xf>
    <xf numFmtId="0" fontId="18" fillId="13" borderId="0" xfId="0" applyFont="1" applyFill="1" applyAlignment="1">
      <alignment horizontal="center" vertical="center" wrapText="1"/>
    </xf>
    <xf numFmtId="0" fontId="19" fillId="0" borderId="0" xfId="0" applyFont="1" applyAlignment="1">
      <alignment horizontal="center" vertical="center" wrapText="1"/>
    </xf>
    <xf numFmtId="0" fontId="11" fillId="0" borderId="0" xfId="0" applyFont="1" applyAlignment="1">
      <alignment horizontal="center" wrapText="1"/>
    </xf>
    <xf numFmtId="0" fontId="16" fillId="0" borderId="0" xfId="0" applyFont="1" applyAlignment="1">
      <alignment horizontal="justify" wrapText="1"/>
    </xf>
    <xf numFmtId="0" fontId="16" fillId="0" borderId="0" xfId="0" applyFont="1" applyAlignment="1">
      <alignment horizontal="center" vertical="center" wrapText="1"/>
    </xf>
    <xf numFmtId="0" fontId="16" fillId="0" borderId="0" xfId="0" applyFont="1" applyAlignment="1">
      <alignment horizontal="center" wrapText="1"/>
    </xf>
    <xf numFmtId="0" fontId="12" fillId="12" borderId="0" xfId="0" applyFont="1" applyFill="1" applyAlignment="1">
      <alignment horizontal="center" vertical="center"/>
    </xf>
    <xf numFmtId="185" fontId="12" fillId="12"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20" fillId="3" borderId="0" xfId="0" applyFont="1" applyFill="1" applyBorder="1" applyAlignment="1">
      <alignment horizontal="center"/>
    </xf>
    <xf numFmtId="0" fontId="20" fillId="3" borderId="0" xfId="0" applyFont="1" applyFill="1" applyBorder="1" applyAlignment="1">
      <alignment horizontal="center" vertical="center" wrapText="1"/>
    </xf>
    <xf numFmtId="0" fontId="20" fillId="3" borderId="0" xfId="0" applyFont="1" applyFill="1" applyBorder="1" applyAlignment="1">
      <alignment horizontal="center" vertical="center"/>
    </xf>
    <xf numFmtId="0" fontId="21" fillId="5" borderId="0" xfId="0" applyFont="1" applyFill="1" applyAlignment="1">
      <alignment horizontal="center"/>
    </xf>
    <xf numFmtId="0" fontId="21" fillId="5" borderId="0" xfId="0" applyFont="1" applyFill="1" applyAlignment="1">
      <alignment horizontal="center" vertical="center" wrapText="1"/>
    </xf>
    <xf numFmtId="0" fontId="21" fillId="5" borderId="0" xfId="0" applyFont="1" applyFill="1" applyAlignment="1">
      <alignment horizontal="center" vertical="center"/>
    </xf>
    <xf numFmtId="0" fontId="22" fillId="4" borderId="0" xfId="0" applyFont="1" applyFill="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justify" wrapText="1"/>
    </xf>
    <xf numFmtId="185" fontId="23" fillId="6" borderId="0" xfId="0" applyNumberFormat="1" applyFont="1" applyFill="1" applyAlignment="1">
      <alignment horizontal="center" vertical="center" wrapText="1"/>
    </xf>
    <xf numFmtId="185" fontId="23" fillId="0" borderId="0" xfId="0" applyNumberFormat="1" applyFont="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justify" vertical="center" wrapText="1"/>
    </xf>
    <xf numFmtId="0" fontId="16" fillId="0" borderId="0" xfId="0" applyFont="1" applyAlignment="1">
      <alignment horizontal="justify" vertical="center" wrapText="1"/>
    </xf>
    <xf numFmtId="0" fontId="25" fillId="15" borderId="27" xfId="0" applyFont="1" applyFill="1" applyBorder="1" applyAlignment="1">
      <alignment horizontal="center" vertical="center"/>
    </xf>
    <xf numFmtId="0" fontId="25" fillId="15" borderId="27" xfId="0" applyFont="1" applyFill="1" applyBorder="1" applyAlignment="1">
      <alignment horizontal="center"/>
    </xf>
    <xf numFmtId="0" fontId="22" fillId="16" borderId="28" xfId="0" applyFont="1" applyFill="1" applyBorder="1" applyAlignment="1">
      <alignment horizontal="justify" vertical="center" wrapText="1"/>
    </xf>
    <xf numFmtId="0" fontId="22" fillId="16" borderId="28" xfId="0" applyFont="1" applyFill="1" applyBorder="1" applyAlignment="1">
      <alignment horizontal="justify" wrapText="1"/>
    </xf>
    <xf numFmtId="0" fontId="22" fillId="17" borderId="0" xfId="0" applyFont="1" applyFill="1" applyBorder="1" applyAlignment="1">
      <alignment horizontal="center" vertical="center" wrapText="1"/>
    </xf>
    <xf numFmtId="49" fontId="0" fillId="17" borderId="0" xfId="0" applyNumberFormat="1" applyFont="1" applyFill="1" applyBorder="1" applyAlignment="1">
      <alignment horizontal="left"/>
    </xf>
    <xf numFmtId="0" fontId="0" fillId="17" borderId="0" xfId="0" applyFont="1" applyFill="1" applyBorder="1" applyAlignment="1">
      <alignment horizontal="left"/>
    </xf>
    <xf numFmtId="0" fontId="22" fillId="0" borderId="0" xfId="0" applyFont="1" applyBorder="1" applyAlignment="1">
      <alignment horizontal="center" vertical="center" wrapText="1"/>
    </xf>
    <xf numFmtId="0" fontId="0" fillId="0" borderId="0" xfId="0" applyFont="1" applyBorder="1" applyAlignment="1">
      <alignment horizontal="left"/>
    </xf>
    <xf numFmtId="0" fontId="26" fillId="15" borderId="29" xfId="0" applyFont="1" applyFill="1" applyBorder="1" applyAlignment="1">
      <alignment horizontal="center" vertical="center"/>
    </xf>
    <xf numFmtId="0" fontId="26" fillId="15" borderId="29" xfId="0" applyFont="1" applyFill="1" applyBorder="1" applyAlignment="1">
      <alignment horizontal="center"/>
    </xf>
    <xf numFmtId="0" fontId="0" fillId="16" borderId="30" xfId="0" applyFont="1" applyFill="1" applyBorder="1" applyAlignment="1">
      <alignment horizontal="center" vertical="center"/>
    </xf>
    <xf numFmtId="0" fontId="0" fillId="16" borderId="15" xfId="0" applyFont="1" applyFill="1" applyBorder="1"/>
    <xf numFmtId="0" fontId="0" fillId="18" borderId="15" xfId="0" applyFont="1" applyFill="1" applyBorder="1" applyAlignment="1">
      <alignment horizontal="center"/>
    </xf>
    <xf numFmtId="0" fontId="0" fillId="19" borderId="31" xfId="0" applyFont="1" applyFill="1" applyBorder="1" applyAlignment="1">
      <alignment horizontal="center" vertical="center"/>
    </xf>
    <xf numFmtId="0" fontId="0" fillId="19" borderId="32" xfId="0" applyFont="1" applyFill="1" applyBorder="1"/>
    <xf numFmtId="0" fontId="0" fillId="18" borderId="32" xfId="0" applyFont="1" applyFill="1" applyBorder="1" applyAlignment="1">
      <alignment horizontal="center"/>
    </xf>
    <xf numFmtId="0" fontId="0" fillId="16" borderId="31" xfId="0" applyFont="1" applyFill="1" applyBorder="1" applyAlignment="1">
      <alignment horizontal="center" vertical="center"/>
    </xf>
    <xf numFmtId="0" fontId="0" fillId="16" borderId="32" xfId="0" applyFont="1" applyFill="1" applyBorder="1"/>
    <xf numFmtId="0" fontId="26" fillId="15" borderId="27" xfId="0" applyFont="1" applyFill="1" applyBorder="1" applyAlignment="1">
      <alignment horizontal="center" vertical="center"/>
    </xf>
    <xf numFmtId="0" fontId="26" fillId="15" borderId="27" xfId="0" applyFont="1" applyFill="1" applyBorder="1" applyAlignment="1">
      <alignment horizontal="center"/>
    </xf>
    <xf numFmtId="0" fontId="26" fillId="15" borderId="33" xfId="0" applyFont="1" applyFill="1" applyBorder="1" applyAlignment="1">
      <alignment horizontal="center" vertical="center" wrapText="1"/>
    </xf>
    <xf numFmtId="0" fontId="26" fillId="15" borderId="33" xfId="0" applyFont="1" applyFill="1" applyBorder="1" applyAlignment="1">
      <alignment horizontal="center" wrapText="1"/>
    </xf>
    <xf numFmtId="0" fontId="26" fillId="15" borderId="13" xfId="0" applyFont="1" applyFill="1" applyBorder="1" applyAlignment="1">
      <alignment horizontal="center"/>
    </xf>
    <xf numFmtId="0" fontId="0" fillId="16" borderId="32" xfId="0" applyFont="1" applyFill="1" applyBorder="1" applyAlignment="1">
      <alignment horizontal="center" vertical="center"/>
    </xf>
    <xf numFmtId="0" fontId="0" fillId="16" borderId="32" xfId="0" applyFont="1" applyFill="1" applyBorder="1" applyAlignment="1">
      <alignment horizontal="center"/>
    </xf>
    <xf numFmtId="0" fontId="0" fillId="18" borderId="34" xfId="0" applyFont="1" applyFill="1" applyBorder="1" applyAlignment="1">
      <alignment horizontal="center"/>
    </xf>
    <xf numFmtId="0" fontId="0" fillId="19" borderId="32" xfId="0" applyFont="1" applyFill="1" applyBorder="1" applyAlignment="1">
      <alignment horizontal="center" vertical="center"/>
    </xf>
    <xf numFmtId="0" fontId="0" fillId="19" borderId="32" xfId="0" applyFont="1" applyFill="1" applyBorder="1" applyAlignment="1">
      <alignment horizontal="center"/>
    </xf>
    <xf numFmtId="183" fontId="0" fillId="18" borderId="34" xfId="0" applyNumberFormat="1" applyFont="1" applyFill="1" applyBorder="1" applyAlignment="1">
      <alignment horizontal="center"/>
    </xf>
    <xf numFmtId="0" fontId="22" fillId="0" borderId="0"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8" borderId="0" xfId="0" applyFill="1" applyAlignment="1">
      <alignment horizontal="center"/>
    </xf>
    <xf numFmtId="183" fontId="0" fillId="18" borderId="0" xfId="0" applyNumberFormat="1" applyFill="1" applyAlignment="1">
      <alignment horizontal="center"/>
    </xf>
    <xf numFmtId="0" fontId="0" fillId="18" borderId="0" xfId="0" applyFont="1" applyFill="1" applyAlignment="1">
      <alignment horizontal="center"/>
    </xf>
    <xf numFmtId="49" fontId="0" fillId="18" borderId="0" xfId="0" applyNumberFormat="1" applyFont="1" applyFill="1" applyAlignment="1">
      <alignment horizontal="center"/>
    </xf>
    <xf numFmtId="0" fontId="0" fillId="0" borderId="0" xfId="0" applyFont="1"/>
    <xf numFmtId="10" fontId="0" fillId="0" borderId="0" xfId="0" applyNumberFormat="1"/>
    <xf numFmtId="183" fontId="0" fillId="0" borderId="0" xfId="0" applyNumberFormat="1" applyAlignment="1">
      <alignment horizontal="center"/>
    </xf>
    <xf numFmtId="0" fontId="26" fillId="15" borderId="0" xfId="0" applyFont="1" applyFill="1" applyBorder="1" applyAlignment="1">
      <alignment horizontal="center" vertical="center"/>
    </xf>
    <xf numFmtId="0" fontId="26" fillId="15" borderId="0" xfId="0" applyFont="1" applyFill="1" applyBorder="1" applyAlignment="1">
      <alignment horizontal="center"/>
    </xf>
    <xf numFmtId="0" fontId="22" fillId="0" borderId="0" xfId="0" applyFont="1" applyBorder="1" applyAlignment="1">
      <alignment horizontal="center" vertical="center"/>
    </xf>
    <xf numFmtId="10" fontId="0" fillId="0" borderId="0" xfId="4" applyNumberFormat="1" applyFont="1" applyBorder="1" applyAlignment="1" applyProtection="1">
      <alignment horizontal="center"/>
    </xf>
    <xf numFmtId="0" fontId="0" fillId="0" borderId="0" xfId="0" applyAlignment="1"/>
    <xf numFmtId="0" fontId="22" fillId="16" borderId="15" xfId="0" applyFont="1" applyFill="1" applyBorder="1" applyAlignment="1">
      <alignment horizontal="center" vertical="center"/>
    </xf>
    <xf numFmtId="182" fontId="0" fillId="18" borderId="16" xfId="0" applyNumberFormat="1" applyFont="1" applyFill="1" applyBorder="1" applyAlignment="1">
      <alignment horizontal="center" vertical="center"/>
    </xf>
    <xf numFmtId="0" fontId="22" fillId="19" borderId="16" xfId="0" applyFont="1" applyFill="1" applyBorder="1" applyAlignment="1">
      <alignment horizontal="center" vertical="center"/>
    </xf>
    <xf numFmtId="182" fontId="22" fillId="18" borderId="16" xfId="0" applyNumberFormat="1" applyFont="1" applyFill="1" applyBorder="1" applyAlignment="1">
      <alignment horizontal="center" vertical="center"/>
    </xf>
    <xf numFmtId="10" fontId="0" fillId="0" borderId="0" xfId="0" applyNumberFormat="1" applyAlignment="1">
      <alignment horizontal="center"/>
    </xf>
    <xf numFmtId="10" fontId="0" fillId="18" borderId="0" xfId="4" applyNumberFormat="1" applyFont="1" applyFill="1" applyBorder="1" applyAlignment="1" applyProtection="1">
      <alignment horizontal="center"/>
    </xf>
    <xf numFmtId="183" fontId="0" fillId="18" borderId="0" xfId="0" applyNumberFormat="1" applyFont="1" applyFill="1" applyAlignment="1">
      <alignment horizontal="center"/>
    </xf>
    <xf numFmtId="0" fontId="0" fillId="0" borderId="0" xfId="0" applyFont="1" applyAlignment="1">
      <alignment vertical="center"/>
    </xf>
    <xf numFmtId="183" fontId="0" fillId="18" borderId="0" xfId="0" applyNumberFormat="1" applyFill="1" applyAlignment="1">
      <alignment horizontal="center" vertical="center"/>
    </xf>
    <xf numFmtId="183"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18" borderId="0" xfId="4" applyNumberFormat="1" applyFont="1" applyFill="1" applyBorder="1" applyAlignment="1" applyProtection="1">
      <alignment horizontal="center" vertical="center"/>
    </xf>
    <xf numFmtId="0" fontId="26" fillId="15" borderId="0" xfId="0" applyFont="1" applyFill="1" applyBorder="1" applyAlignment="1">
      <alignment horizontal="center" vertical="center" wrapText="1"/>
    </xf>
    <xf numFmtId="0" fontId="26" fillId="15" borderId="0" xfId="0" applyFont="1" applyFill="1" applyBorder="1" applyAlignment="1">
      <alignment horizontal="center" wrapText="1"/>
    </xf>
    <xf numFmtId="187" fontId="0" fillId="18" borderId="0" xfId="0" applyNumberFormat="1" applyFill="1" applyAlignment="1">
      <alignment horizontal="center"/>
    </xf>
    <xf numFmtId="0" fontId="0" fillId="0" borderId="0" xfId="0" applyAlignment="1">
      <alignment vertical="center" wrapText="1"/>
    </xf>
    <xf numFmtId="0" fontId="27" fillId="0" borderId="0" xfId="0" applyFont="1" applyAlignment="1">
      <alignment horizontal="center" vertical="center" wrapText="1"/>
    </xf>
    <xf numFmtId="183" fontId="27" fillId="0" borderId="0" xfId="0" applyNumberFormat="1" applyFont="1" applyAlignment="1">
      <alignment vertical="center"/>
    </xf>
    <xf numFmtId="0" fontId="27" fillId="0" borderId="0" xfId="0" applyFont="1" applyAlignment="1">
      <alignment horizontal="center"/>
    </xf>
    <xf numFmtId="183" fontId="27" fillId="0" borderId="0" xfId="0" applyNumberFormat="1" applyFont="1" applyAlignment="1">
      <alignment horizontal="center"/>
    </xf>
    <xf numFmtId="183" fontId="28" fillId="18" borderId="0" xfId="0" applyNumberFormat="1" applyFont="1" applyFill="1" applyAlignment="1">
      <alignment horizontal="center"/>
    </xf>
    <xf numFmtId="183" fontId="0" fillId="0" borderId="0" xfId="0" applyNumberFormat="1" applyAlignment="1">
      <alignment horizontal="center" vertical="center"/>
    </xf>
    <xf numFmtId="183" fontId="23" fillId="18" borderId="0" xfId="0" applyNumberFormat="1" applyFont="1" applyFill="1" applyAlignment="1">
      <alignment horizontal="center"/>
    </xf>
    <xf numFmtId="183" fontId="23" fillId="0" borderId="0" xfId="0" applyNumberFormat="1" applyFont="1" applyAlignment="1">
      <alignment horizontal="center"/>
    </xf>
    <xf numFmtId="0" fontId="26" fillId="15" borderId="13" xfId="0" applyFont="1" applyFill="1" applyBorder="1" applyAlignment="1">
      <alignment horizontal="center" vertical="center"/>
    </xf>
    <xf numFmtId="10" fontId="23" fillId="18" borderId="0" xfId="4" applyNumberFormat="1" applyFont="1" applyFill="1" applyBorder="1" applyAlignment="1" applyProtection="1">
      <alignment horizontal="center"/>
    </xf>
    <xf numFmtId="0" fontId="0" fillId="16" borderId="15" xfId="0" applyFont="1" applyFill="1" applyBorder="1" applyAlignment="1">
      <alignment horizontal="left" vertical="center"/>
    </xf>
    <xf numFmtId="0" fontId="0" fillId="19" borderId="16" xfId="0" applyFont="1" applyFill="1" applyBorder="1" applyAlignment="1">
      <alignment horizontal="left" vertical="center"/>
    </xf>
    <xf numFmtId="182" fontId="0" fillId="18" borderId="0" xfId="0" applyNumberFormat="1" applyFill="1" applyAlignment="1">
      <alignment horizontal="center"/>
    </xf>
    <xf numFmtId="184" fontId="0" fillId="18"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29" fillId="15" borderId="0" xfId="0" applyFont="1" applyFill="1" applyAlignment="1">
      <alignment horizontal="center" vertical="center"/>
    </xf>
    <xf numFmtId="0" fontId="26" fillId="15" borderId="0" xfId="0" applyFont="1" applyFill="1" applyAlignment="1">
      <alignment horizontal="center" vertical="center"/>
    </xf>
    <xf numFmtId="0" fontId="29" fillId="15" borderId="0" xfId="0" applyFont="1" applyFill="1"/>
    <xf numFmtId="183" fontId="26" fillId="15" borderId="0" xfId="0" applyNumberFormat="1" applyFont="1" applyFill="1" applyAlignment="1">
      <alignment horizontal="center"/>
    </xf>
    <xf numFmtId="0" fontId="22" fillId="17" borderId="0" xfId="0" applyFont="1" applyFill="1" applyBorder="1" applyAlignment="1">
      <alignment horizontal="left" vertical="center" wrapText="1"/>
    </xf>
    <xf numFmtId="182" fontId="0" fillId="18" borderId="0" xfId="0" applyNumberFormat="1" applyFill="1" applyAlignment="1">
      <alignment horizontal="center" vertical="center"/>
    </xf>
    <xf numFmtId="0" fontId="0" fillId="0" borderId="0" xfId="0" applyFont="1" applyAlignment="1">
      <alignment horizontal="justify"/>
    </xf>
    <xf numFmtId="0" fontId="0" fillId="0" borderId="0" xfId="0" applyAlignment="1">
      <alignment horizontal="justify"/>
    </xf>
    <xf numFmtId="0" fontId="0" fillId="0" borderId="0" xfId="0" applyFont="1" applyAlignment="1">
      <alignment horizontal="justify" wrapText="1"/>
    </xf>
    <xf numFmtId="0" fontId="23" fillId="0" borderId="0" xfId="0" applyFont="1"/>
    <xf numFmtId="0" fontId="0" fillId="0" borderId="0" xfId="0" applyAlignment="1">
      <alignment vertical="center"/>
    </xf>
    <xf numFmtId="0" fontId="22" fillId="16" borderId="28" xfId="0" applyFont="1" applyFill="1" applyBorder="1" applyAlignment="1">
      <alignment horizontal="left" vertical="center" wrapText="1"/>
    </xf>
    <xf numFmtId="0" fontId="22" fillId="16" borderId="28" xfId="0" applyFont="1" applyFill="1" applyBorder="1" applyAlignment="1">
      <alignment horizontal="left" wrapText="1"/>
    </xf>
    <xf numFmtId="0" fontId="22" fillId="0" borderId="0" xfId="0" applyFont="1" applyBorder="1" applyAlignment="1">
      <alignment horizontal="left" vertical="center" wrapText="1"/>
    </xf>
    <xf numFmtId="0" fontId="23" fillId="0" borderId="0" xfId="0" applyFont="1" applyAlignment="1">
      <alignment wrapText="1"/>
    </xf>
    <xf numFmtId="10" fontId="23" fillId="0" borderId="0" xfId="4" applyNumberFormat="1" applyFont="1" applyBorder="1" applyAlignment="1" applyProtection="1">
      <alignment horizontal="center" vertical="center"/>
    </xf>
    <xf numFmtId="183" fontId="23" fillId="18" borderId="0" xfId="0" applyNumberFormat="1" applyFont="1" applyFill="1" applyAlignment="1">
      <alignment horizontal="center" vertical="center"/>
    </xf>
    <xf numFmtId="10" fontId="23" fillId="18" borderId="0" xfId="4" applyNumberFormat="1" applyFont="1" applyFill="1" applyBorder="1" applyAlignment="1" applyProtection="1">
      <alignment horizontal="center" vertical="center"/>
    </xf>
    <xf numFmtId="187" fontId="23" fillId="18" borderId="0" xfId="0" applyNumberFormat="1" applyFont="1" applyFill="1" applyAlignment="1">
      <alignment horizontal="center"/>
    </xf>
    <xf numFmtId="185" fontId="23" fillId="18" borderId="0" xfId="0" applyNumberFormat="1" applyFont="1" applyFill="1" applyAlignment="1">
      <alignment horizontal="center"/>
    </xf>
    <xf numFmtId="0" fontId="29" fillId="15" borderId="0" xfId="0" applyFont="1" applyFill="1" applyAlignment="1">
      <alignment vertical="center"/>
    </xf>
    <xf numFmtId="0" fontId="22" fillId="17" borderId="0" xfId="0" applyFont="1" applyFill="1" applyBorder="1" applyAlignment="1">
      <alignment horizontal="justify" vertical="center" wrapText="1"/>
    </xf>
    <xf numFmtId="177" fontId="0" fillId="0" borderId="0" xfId="0" applyNumberFormat="1" applyAlignment="1">
      <alignment horizontal="center" vertical="center"/>
    </xf>
    <xf numFmtId="177" fontId="0" fillId="18" borderId="0" xfId="0" applyNumberFormat="1" applyFill="1" applyAlignment="1">
      <alignment horizontal="center" vertical="center"/>
    </xf>
    <xf numFmtId="183" fontId="27" fillId="0" borderId="0" xfId="0" applyNumberFormat="1" applyFont="1" applyAlignment="1">
      <alignment vertical="center" wrapText="1"/>
    </xf>
    <xf numFmtId="183" fontId="27" fillId="0" borderId="0" xfId="0" applyNumberFormat="1" applyFont="1" applyAlignment="1">
      <alignment horizontal="center" wrapText="1"/>
    </xf>
    <xf numFmtId="182" fontId="0" fillId="18" borderId="0" xfId="0" applyNumberFormat="1" applyFill="1"/>
    <xf numFmtId="0" fontId="22" fillId="0" borderId="35" xfId="0" applyFont="1" applyBorder="1" applyAlignment="1">
      <alignment horizontal="center"/>
    </xf>
    <xf numFmtId="180" fontId="0" fillId="18" borderId="0" xfId="9" applyFont="1" applyFill="1" applyBorder="1" applyAlignment="1" applyProtection="1">
      <alignment horizontal="center"/>
    </xf>
    <xf numFmtId="188" fontId="0" fillId="18" borderId="0" xfId="0" applyNumberFormat="1" applyFill="1" applyAlignment="1">
      <alignment horizontal="center"/>
    </xf>
    <xf numFmtId="9" fontId="0" fillId="18" borderId="0" xfId="0" applyNumberFormat="1" applyFill="1" applyAlignment="1">
      <alignment horizontal="center"/>
    </xf>
    <xf numFmtId="0" fontId="0" fillId="0" borderId="0" xfId="0" applyFont="1" applyAlignment="1"/>
    <xf numFmtId="10" fontId="0" fillId="18" borderId="0" xfId="4" applyNumberFormat="1" applyFont="1" applyFill="1" applyBorder="1" applyAlignment="1" applyProtection="1"/>
    <xf numFmtId="10" fontId="0" fillId="0" borderId="0" xfId="4" applyNumberFormat="1" applyFont="1" applyBorder="1" applyAlignment="1" applyProtection="1"/>
    <xf numFmtId="0" fontId="22"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3" fontId="0" fillId="0" borderId="0" xfId="0" applyNumberFormat="1" applyFont="1" applyAlignment="1">
      <alignment horizontal="center" vertical="center" wrapText="1"/>
    </xf>
    <xf numFmtId="183" fontId="29" fillId="15" borderId="0" xfId="0" applyNumberFormat="1" applyFont="1" applyFill="1" applyAlignment="1">
      <alignment horizontal="center"/>
    </xf>
    <xf numFmtId="0" fontId="22" fillId="20" borderId="36" xfId="0" applyFont="1" applyFill="1" applyBorder="1" applyAlignment="1">
      <alignment horizontal="center"/>
    </xf>
    <xf numFmtId="0" fontId="0" fillId="20" borderId="0" xfId="0" applyFont="1" applyFill="1" applyBorder="1" applyAlignment="1">
      <alignment horizontal="left" vertical="center" wrapText="1"/>
    </xf>
    <xf numFmtId="0" fontId="0" fillId="20" borderId="0" xfId="0" applyFont="1" applyFill="1" applyBorder="1" applyAlignment="1">
      <alignment horizontal="left" wrapText="1"/>
    </xf>
    <xf numFmtId="0" fontId="22" fillId="20" borderId="0" xfId="0" applyFont="1" applyFill="1" applyBorder="1" applyAlignment="1">
      <alignment horizontal="left" vertical="center" wrapText="1"/>
    </xf>
    <xf numFmtId="0" fontId="13" fillId="20" borderId="0" xfId="0" applyFont="1" applyFill="1" applyBorder="1" applyAlignment="1">
      <alignment horizontal="center"/>
    </xf>
    <xf numFmtId="0" fontId="0" fillId="20"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372">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rgb="FFFF000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font>
        <color rgb="FFFF0000"/>
      </font>
      <alignment wrapText="1"/>
    </dxf>
    <dxf>
      <font>
        <color rgb="FFFF000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justify"/>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ill>
        <patternFill patternType="solid">
          <bgColor theme="5" tint="0.4"/>
        </patternFill>
      </fill>
      <alignment wrapText="1"/>
    </dxf>
    <dxf>
      <alignment wrapText="1"/>
    </dxf>
    <dxf>
      <alignment wrapText="1"/>
    </dxf>
    <dxf>
      <alignment wrapText="1"/>
    </dxf>
    <dxf>
      <alignment wrapText="1"/>
    </dxf>
    <dxf>
      <alignment wrapText="1"/>
    </dxf>
    <dxf>
      <alignment wrapText="1"/>
    </dxf>
    <dxf>
      <alignment wrapText="1"/>
    </dxf>
    <dxf>
      <numFmt numFmtId="185" formatCode="&quot;R$&quot;#,##0.00_);[Red]\(&quot;R$&quot;#,##0.00\)"/>
      <fill>
        <patternFill patternType="solid">
          <bgColor theme="5" tint="0.4"/>
        </patternFill>
      </fill>
      <alignment horizontal="center" vertical="center"/>
    </dxf>
    <dxf>
      <numFmt numFmtId="185" formatCode="&quot;R$&quot;#,##0.00_);[Red]\(&quot;R$&quot;#,##0.00\)"/>
      <alignment horizontal="center" vertical="center"/>
    </dxf>
    <dxf>
      <alignment horizontal="center"/>
    </dxf>
    <dxf>
      <alignment horizontal="center"/>
    </dxf>
    <dxf>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00.xml><?xml version="1.0" encoding="utf-8"?>
<table xmlns="http://schemas.openxmlformats.org/spreadsheetml/2006/main" id="89" name="ResumoPosto64_90" displayName="ResumoPosto64_90" ref="A140:D148" totalsRowShown="0">
  <autoFilter ref="A140:D148"/>
  <tableColumns count="4">
    <tableColumn id="1" name="Item" dataDxfId="273"/>
    <tableColumn id="2" name="Mão de obra vinculada à execução contratual" dataDxfId="274"/>
    <tableColumn id="3" name="-" dataDxfId="275"/>
    <tableColumn id="4" name="Valor" dataDxfId="276"/>
  </tableColumns>
  <tableStyleInfo showFirstColumn="0" showLastColumn="0" showRowStripes="1" showColumnStripes="0"/>
</table>
</file>

<file path=xl/tables/table101.xml><?xml version="1.0" encoding="utf-8"?>
<table xmlns="http://schemas.openxmlformats.org/spreadsheetml/2006/main" id="9" name="Submódulo2.255_8910" displayName="Submódulo2.255_8910" ref="A46:D55" totalsRowCount="1">
  <autoFilter ref="A46:D54"/>
  <tableColumns count="4">
    <tableColumn id="1" name="2.2" totalsRowLabel="Total"/>
    <tableColumn id="2" name="GPS, FGTS e outras contribuições"/>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102.xml><?xml version="1.0" encoding="utf-8"?>
<table xmlns="http://schemas.openxmlformats.org/spreadsheetml/2006/main" id="11" name="Módulo153_7812" displayName="Módulo153_7812" ref="A24:D31" totalsRowCount="1">
  <autoFilter ref="A24:D30"/>
  <tableColumns count="4">
    <tableColumn id="1" name="1" totalsRowLabel="Total"/>
    <tableColumn id="2" name="Composição da Remuneração"/>
    <tableColumn id="3" name="Comentário"/>
    <tableColumn id="4" name="Valor" totalsRowFunction="custom">
      <totalsRowFormula>TRUNC(SUM(D25:D30),2)</totalsRowFormula>
    </tableColumn>
  </tableColumns>
  <tableStyleInfo showFirstColumn="0" showLastColumn="0" showRowStripes="1" showColumnStripes="0"/>
</table>
</file>

<file path=xl/tables/table103.xml><?xml version="1.0" encoding="utf-8"?>
<table xmlns="http://schemas.openxmlformats.org/spreadsheetml/2006/main" id="13" name="ResumoPosto64_9014" displayName="ResumoPosto64_9014" ref="A140:D148" totalsRowShown="0">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104.xml><?xml version="1.0" encoding="utf-8"?>
<table xmlns="http://schemas.openxmlformats.org/spreadsheetml/2006/main" id="15" name="ResumoMódulo461_8816" displayName="ResumoMódulo461_8816"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105.xml><?xml version="1.0" encoding="utf-8"?>
<table xmlns="http://schemas.openxmlformats.org/spreadsheetml/2006/main" id="17" name="Submódulo2.154_8718" displayName="Submódulo2.154_8718"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106.xml><?xml version="1.0" encoding="utf-8"?>
<table xmlns="http://schemas.openxmlformats.org/spreadsheetml/2006/main" id="19" name="Submódulo2.356_7920" displayName="Submódulo2.356_7920" ref="A58:D66" totalsRowCount="1">
  <autoFilter ref="A58:D65"/>
  <tableColumns count="4">
    <tableColumn id="1" name="2.3" totalsRowLabel="Total"/>
    <tableColumn id="2" name="Benefícios Mensais e Diários"/>
    <tableColumn id="3" name="Comentário"/>
    <tableColumn id="4" name="Valor" totalsRowFunction="custom">
      <totalsRowFormula>TRUNC((SUM(D59:D65)),2)</totalsRowFormula>
    </tableColumn>
  </tableColumns>
  <tableStyleInfo showFirstColumn="0" showLastColumn="0" showRowStripes="1" showColumnStripes="0"/>
</table>
</file>

<file path=xl/tables/table107.xml><?xml version="1.0" encoding="utf-8"?>
<table xmlns="http://schemas.openxmlformats.org/spreadsheetml/2006/main" id="21" name="Submódulo4.159_8022" displayName="Submódulo4.159_8022"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ables/table108.xml><?xml version="1.0" encoding="utf-8"?>
<table xmlns="http://schemas.openxmlformats.org/spreadsheetml/2006/main" id="23" name="Submódulo4.260_8124" displayName="Submódulo4.260_8124"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109.xml><?xml version="1.0" encoding="utf-8"?>
<table xmlns="http://schemas.openxmlformats.org/spreadsheetml/2006/main" id="25" name="Módulo663_8526" displayName="Módulo663_8526" ref="A129:D136" totalsRowCount="1">
  <tableColumns count="4">
    <tableColumn id="1" name="6" totalsRowLabel="Total"/>
    <tableColumn id="2" name="Custos Indiretos, Tributos e Lucro"/>
    <tableColumn id="3" name="Percentual"/>
    <tableColumn id="4" name="Valor" totalsRowFunction="custom">
      <totalsRowFormula>TRUNC(SUM(D130:D132),2)</totalsRowFormula>
    </tableColumn>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10.xml><?xml version="1.0" encoding="utf-8"?>
<table xmlns="http://schemas.openxmlformats.org/spreadsheetml/2006/main" id="27" name="Módulo562_8428" displayName="Módulo562_8428" ref="A113:D119" totalsRowCount="1">
  <autoFilter ref="A113:D118"/>
  <tableColumns count="4">
    <tableColumn id="1" name="5" totalsRowLabel="Total"/>
    <tableColumn id="2" name="Insumos Diversos"/>
    <tableColumn id="3" name="Comentário"/>
    <tableColumn id="4" name="Valor" totalsRowFunction="custom">
      <totalsRowFormula>TRUNC(SUM(D114:D118),2)</totalsRowFormula>
    </tableColumn>
  </tableColumns>
  <tableStyleInfo showFirstColumn="0" showLastColumn="0" showRowStripes="1" showColumnStripes="0"/>
</table>
</file>

<file path=xl/tables/table111.xml><?xml version="1.0" encoding="utf-8"?>
<table xmlns="http://schemas.openxmlformats.org/spreadsheetml/2006/main" id="29" name="Módulo358_8330" displayName="Módulo358_8330"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112.xml><?xml version="1.0" encoding="utf-8"?>
<table xmlns="http://schemas.openxmlformats.org/spreadsheetml/2006/main" id="30" name="ResumoMódulo257_8631" displayName="ResumoMódulo257_8631"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113.xml><?xml version="1.0" encoding="utf-8"?>
<table xmlns="http://schemas.openxmlformats.org/spreadsheetml/2006/main" id="31" name="Table452_8232" displayName="Table452_8232"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114.xml><?xml version="1.0" encoding="utf-8"?>
<table xmlns="http://schemas.openxmlformats.org/spreadsheetml/2006/main" id="116" name="Módulo663" displayName="Módulo663" ref="A129:D136" totalsRowCount="1">
  <tableColumns count="4">
    <tableColumn id="1" name="6" totalsRowLabel="Total" dataDxfId="277"/>
    <tableColumn id="2" name="Custos Indiretos, Tributos e Lucro" dataDxfId="278"/>
    <tableColumn id="3" name="Percentual" dataDxfId="279"/>
    <tableColumn id="4" name="Valor" totalsRowFunction="custom">
      <totalsRowFormula>TRUNC(SUM(D130:D132),2)</totalsRowFormula>
    </tableColumn>
  </tableColumns>
  <tableStyleInfo showFirstColumn="0" showLastColumn="0" showRowStripes="1" showColumnStripes="0"/>
</table>
</file>

<file path=xl/tables/table115.xml><?xml version="1.0" encoding="utf-8"?>
<table xmlns="http://schemas.openxmlformats.org/spreadsheetml/2006/main" id="117" name="ResumoMódulo257" displayName="ResumoMódulo257" ref="A69:D73" totalsRowCount="1">
  <autoFilter ref="A69:D72"/>
  <tableColumns count="4">
    <tableColumn id="1" name="2" totalsRowLabel="Total" dataDxfId="280"/>
    <tableColumn id="2" name="Encargos e Benefícios Anuais, Mensais e Diários" dataDxfId="281"/>
    <tableColumn id="3" name="Comentário" dataDxfId="282"/>
    <tableColumn id="4" name="Valor" totalsRowFunction="custom">
      <totalsRowFormula>TRUNC((SUM(D70:D72)),2)</totalsRowFormula>
    </tableColumn>
  </tableColumns>
  <tableStyleInfo showFirstColumn="0" showLastColumn="0" showRowStripes="1" showColumnStripes="0"/>
</table>
</file>

<file path=xl/tables/table116.xml><?xml version="1.0" encoding="utf-8"?>
<table xmlns="http://schemas.openxmlformats.org/spreadsheetml/2006/main" id="118" name="Submódulo2.154" displayName="Submódulo2.154" ref="A36:D39" totalsRowCount="1">
  <autoFilter ref="A36:D38"/>
  <tableColumns count="4">
    <tableColumn id="1" name="2.1" totalsRowLabel="Total" dataDxfId="283"/>
    <tableColumn id="2" name="13º (décimo terceiro) Salário, Férias e Adicional de Férias" dataDxfId="284"/>
    <tableColumn id="3" name="Percentual" dataDxfId="285"/>
    <tableColumn id="4" name="Valor" totalsRowFunction="custom">
      <totalsRowFormula>TRUNC((SUM(D37:D38)),2)</totalsRowFormula>
    </tableColumn>
  </tableColumns>
  <tableStyleInfo showFirstColumn="0" showLastColumn="0" showRowStripes="1" showColumnStripes="0"/>
</table>
</file>

<file path=xl/tables/table117.xml><?xml version="1.0" encoding="utf-8"?>
<table xmlns="http://schemas.openxmlformats.org/spreadsheetml/2006/main" id="119" name="ResumoMódulo461" displayName="ResumoMódulo461" ref="A107:D110" totalsRowCount="1">
  <autoFilter ref="A107:D109"/>
  <tableColumns count="4">
    <tableColumn id="1" name="4" totalsRowLabel="Total" dataDxfId="286"/>
    <tableColumn id="2" name="Custo de Reposição do Profissional Ausente" dataDxfId="287"/>
    <tableColumn id="3" name="Comentário" totalsRowLabel="*Nota: Se o titular USUFRUIR do descanso intrajornada, o total é o somatório dos subitens 4.1 e 4.2" dataDxfId="288"/>
    <tableColumn id="4" name="Valor" totalsRowFunction="custom">
      <totalsRowFormula>TRUNC((SUM(D108:D109)),2)</totalsRowFormula>
    </tableColumn>
  </tableColumns>
  <tableStyleInfo showFirstColumn="0" showLastColumn="0" showRowStripes="1" showColumnStripes="0"/>
</table>
</file>

<file path=xl/tables/table118.xml><?xml version="1.0" encoding="utf-8"?>
<table xmlns="http://schemas.openxmlformats.org/spreadsheetml/2006/main" id="120" name="Submódulo2.255" displayName="Submódulo2.255" ref="A46:D55" totalsRowCount="1">
  <autoFilter ref="A46:D54"/>
  <tableColumns count="4">
    <tableColumn id="1" name="2.2" totalsRowLabel="Total" dataDxfId="289"/>
    <tableColumn id="2" name="GPS, FGTS e outras contribuições" dataDxfId="290"/>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119.xml><?xml version="1.0" encoding="utf-8"?>
<table xmlns="http://schemas.openxmlformats.org/spreadsheetml/2006/main" id="121" name="ResumoPosto64" displayName="ResumoPosto64" ref="A140:D148" totalsRowShown="0">
  <autoFilter ref="A140:D148"/>
  <tableColumns count="4">
    <tableColumn id="1" name="Item" dataDxfId="291"/>
    <tableColumn id="2" name="Mão de obra vinculada à execução contratual" dataDxfId="292"/>
    <tableColumn id="3" name="-" dataDxfId="293"/>
    <tableColumn id="4" name="Valor" dataDxfId="294"/>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20.xml><?xml version="1.0" encoding="utf-8"?>
<table xmlns="http://schemas.openxmlformats.org/spreadsheetml/2006/main" id="122" name="Módulo153" displayName="Módulo153" ref="A24:D31" totalsRowCount="1">
  <autoFilter ref="A24:D30"/>
  <tableColumns count="4">
    <tableColumn id="1" name="1" totalsRowLabel="Total" dataDxfId="295"/>
    <tableColumn id="2" name="Composição da Remuneração" dataDxfId="296"/>
    <tableColumn id="3" name="Comentário" dataDxfId="297"/>
    <tableColumn id="4" name="Valor" totalsRowFunction="custom">
      <totalsRowFormula>TRUNC((SUM(D25:D30)),2)</totalsRowFormula>
    </tableColumn>
  </tableColumns>
  <tableStyleInfo showFirstColumn="0" showLastColumn="0" showRowStripes="1" showColumnStripes="0"/>
</table>
</file>

<file path=xl/tables/table121.xml><?xml version="1.0" encoding="utf-8"?>
<table xmlns="http://schemas.openxmlformats.org/spreadsheetml/2006/main" id="123" name="Submódulo2.356" displayName="Submódulo2.356" ref="A58:D66" totalsRowCount="1">
  <autoFilter ref="A58:D65"/>
  <tableColumns count="4">
    <tableColumn id="1" name="2.3" totalsRowLabel="Total" dataDxfId="298"/>
    <tableColumn id="2" name="Benefícios Mensais e Diários" dataDxfId="299"/>
    <tableColumn id="3" name="Comentário" dataDxfId="300"/>
    <tableColumn id="4" name="Valor" totalsRowFunction="custom">
      <totalsRowFormula>TRUNC((SUM(D59:D65)),2)</totalsRowFormula>
    </tableColumn>
  </tableColumns>
  <tableStyleInfo showFirstColumn="0" showLastColumn="0" showRowStripes="1" showColumnStripes="0"/>
</table>
</file>

<file path=xl/tables/table122.xml><?xml version="1.0" encoding="utf-8"?>
<table xmlns="http://schemas.openxmlformats.org/spreadsheetml/2006/main" id="124" name="Submódulo4.159" displayName="Submódulo4.159" ref="A92:D99" totalsRowCount="1">
  <autoFilter ref="A92:D98"/>
  <tableColumns count="4">
    <tableColumn id="1" name="4.1" totalsRowLabel="Total" dataDxfId="301"/>
    <tableColumn id="2" name="Substituto nas Ausências Legais" dataDxfId="302"/>
    <tableColumn id="3" name="Percentual" totalsRowFunction="sum" dataDxfId="303"/>
    <tableColumn id="4" name="Valor" totalsRowFunction="custom">
      <totalsRowFormula>TRUNC((SUM(D93:D98)),2)</totalsRowFormula>
    </tableColumn>
  </tableColumns>
  <tableStyleInfo showFirstColumn="0" showLastColumn="0" showRowStripes="1" showColumnStripes="0"/>
</table>
</file>

<file path=xl/tables/table123.xml><?xml version="1.0" encoding="utf-8"?>
<table xmlns="http://schemas.openxmlformats.org/spreadsheetml/2006/main" id="125" name="Submódulo4.260" displayName="Submódulo4.260" ref="A102:D104" totalsRowCount="1">
  <autoFilter ref="A102:D103"/>
  <tableColumns count="4">
    <tableColumn id="1" name="4.2" totalsRowLabel="Total" dataDxfId="304"/>
    <tableColumn id="2" name="Substituto na Intrajornada " dataDxfId="305"/>
    <tableColumn id="3" name="Comentário" dataDxfId="306"/>
    <tableColumn id="4" name="Valor" totalsRowFunction="custom">
      <totalsRowFormula>D103</totalsRowFormula>
    </tableColumn>
  </tableColumns>
  <tableStyleInfo showFirstColumn="0" showLastColumn="0" showRowStripes="1" showColumnStripes="0"/>
</table>
</file>

<file path=xl/tables/table124.xml><?xml version="1.0" encoding="utf-8"?>
<table xmlns="http://schemas.openxmlformats.org/spreadsheetml/2006/main" id="126" name="Table452" displayName="Table452" ref="A16:D21" totalsRowShown="0">
  <tableColumns count="4">
    <tableColumn id="1" name="Item" dataDxfId="307"/>
    <tableColumn id="2" name="Descrição" dataDxfId="308"/>
    <tableColumn id="3" name="Comentário" dataDxfId="309"/>
    <tableColumn id="4" name="Valor" dataDxfId="310"/>
  </tableColumns>
  <tableStyleInfo showFirstColumn="0" showLastColumn="0" showRowStripes="1" showColumnStripes="0"/>
</table>
</file>

<file path=xl/tables/table125.xml><?xml version="1.0" encoding="utf-8"?>
<table xmlns="http://schemas.openxmlformats.org/spreadsheetml/2006/main" id="127" name="Módulo358" displayName="Módulo358" ref="A76:D83" totalsRowCount="1">
  <autoFilter ref="A76:D82"/>
  <tableColumns count="4">
    <tableColumn id="1" name="3" totalsRowLabel="Total" dataDxfId="311"/>
    <tableColumn id="2" name="Provisão para Rescisão" dataDxfId="312"/>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126.xml><?xml version="1.0" encoding="utf-8"?>
<table xmlns="http://schemas.openxmlformats.org/spreadsheetml/2006/main" id="128" name="Módulo562" displayName="Módulo562" ref="A113:D119" totalsRowCount="1">
  <autoFilter ref="A113:D118"/>
  <tableColumns count="4">
    <tableColumn id="1" name="5" totalsRowLabel="Total" dataDxfId="313"/>
    <tableColumn id="2" name="Insumos Diversos" dataDxfId="314"/>
    <tableColumn id="3" name="Comentário" dataDxfId="315"/>
    <tableColumn id="4" name="Valor" totalsRowFunction="custom">
      <totalsRowFormula>TRUNC(SUM(D114:D118),2)</totalsRowFormula>
    </tableColumn>
  </tableColumns>
  <tableStyleInfo showFirstColumn="0" showLastColumn="0" showRowStripes="1" showColumnStripes="0"/>
</table>
</file>

<file path=xl/tables/table127.xml><?xml version="1.0" encoding="utf-8"?>
<table xmlns="http://schemas.openxmlformats.org/spreadsheetml/2006/main" id="129" name="Submódulo2.255_130" displayName="Submódulo2.255_130" ref="A46:D55" totalsRowCount="1">
  <autoFilter ref="A46:D54"/>
  <tableColumns count="4">
    <tableColumn id="1" name="2.2" totalsRowLabel="Total" dataDxfId="316"/>
    <tableColumn id="2" name="GPS, FGTS e outras contribuições" dataDxfId="317"/>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128.xml><?xml version="1.0" encoding="utf-8"?>
<table xmlns="http://schemas.openxmlformats.org/spreadsheetml/2006/main" id="130" name="ResumoPosto64_131" displayName="ResumoPosto64_131" ref="A140:D148" totalsRowShown="0">
  <autoFilter ref="A140:D148"/>
  <tableColumns count="4">
    <tableColumn id="1" name="Item" dataDxfId="318"/>
    <tableColumn id="2" name="Mão de obra vinculada à execução contratual" dataDxfId="319"/>
    <tableColumn id="3" name="-" dataDxfId="320"/>
    <tableColumn id="4" name="Valor" dataDxfId="321"/>
  </tableColumns>
  <tableStyleInfo showFirstColumn="0" showLastColumn="0" showRowStripes="1" showColumnStripes="0"/>
</table>
</file>

<file path=xl/tables/table129.xml><?xml version="1.0" encoding="utf-8"?>
<table xmlns="http://schemas.openxmlformats.org/spreadsheetml/2006/main" id="131" name="Submódulo2.154_132" displayName="Submódulo2.154_132" ref="A36:D39" totalsRowCount="1">
  <autoFilter ref="A36:D38"/>
  <tableColumns count="4">
    <tableColumn id="1" name="2.1" totalsRowLabel="Total" dataDxfId="322"/>
    <tableColumn id="2" name="13º (décimo terceiro) Salário, Férias e Adicional de Férias" dataDxfId="323"/>
    <tableColumn id="3" name="Percentual" dataDxfId="324"/>
    <tableColumn id="4" name="Valor" totalsRowFunction="custom">
      <totalsRowFormula>TRUNC((SUM(D37:D38)),2)</totalsRowFormula>
    </tableColumn>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30.xml><?xml version="1.0" encoding="utf-8"?>
<table xmlns="http://schemas.openxmlformats.org/spreadsheetml/2006/main" id="132" name="Módulo562_133" displayName="Módulo562_133" ref="A113:D119" totalsRowCount="1">
  <autoFilter ref="A113:D118"/>
  <tableColumns count="4">
    <tableColumn id="1" name="5" totalsRowLabel="Total" dataDxfId="325"/>
    <tableColumn id="2" name="Insumos Diversos" dataDxfId="326"/>
    <tableColumn id="3" name="Comentário" dataDxfId="327"/>
    <tableColumn id="4" name="Valor" totalsRowFunction="custom">
      <totalsRowFormula>TRUNC(SUM(D114:D118),2)</totalsRowFormula>
    </tableColumn>
  </tableColumns>
  <tableStyleInfo showFirstColumn="0" showLastColumn="0" showRowStripes="1" showColumnStripes="0"/>
</table>
</file>

<file path=xl/tables/table131.xml><?xml version="1.0" encoding="utf-8"?>
<table xmlns="http://schemas.openxmlformats.org/spreadsheetml/2006/main" id="133" name="Módulo663_134" displayName="Módulo663_134" ref="A129:D136" totalsRowCount="1">
  <tableColumns count="4">
    <tableColumn id="1" name="6" totalsRowLabel="Total" dataDxfId="328"/>
    <tableColumn id="2" name="Custos Indiretos, Tributos e Lucro" dataDxfId="329"/>
    <tableColumn id="3" name="Percentual" dataDxfId="330"/>
    <tableColumn id="4" name="Valor" totalsRowFunction="custom">
      <totalsRowFormula>TRUNC(SUM(D130:D132),2)</totalsRowFormula>
    </tableColumn>
  </tableColumns>
  <tableStyleInfo showFirstColumn="0" showLastColumn="0" showRowStripes="1" showColumnStripes="0"/>
</table>
</file>

<file path=xl/tables/table132.xml><?xml version="1.0" encoding="utf-8"?>
<table xmlns="http://schemas.openxmlformats.org/spreadsheetml/2006/main" id="134" name="ResumoMódulo257_135" displayName="ResumoMódulo257_135" ref="A69:D73" totalsRowCount="1">
  <autoFilter ref="A69:D72"/>
  <tableColumns count="4">
    <tableColumn id="1" name="2" totalsRowLabel="Total" dataDxfId="331"/>
    <tableColumn id="2" name="Encargos e Benefícios Anuais, Mensais e Diários" dataDxfId="332"/>
    <tableColumn id="3" name="Comentário" dataDxfId="333"/>
    <tableColumn id="4" name="Valor" totalsRowFunction="custom">
      <totalsRowFormula>TRUNC((SUM(D70:D72)),2)</totalsRowFormula>
    </tableColumn>
  </tableColumns>
  <tableStyleInfo showFirstColumn="0" showLastColumn="0" showRowStripes="1" showColumnStripes="0"/>
</table>
</file>

<file path=xl/tables/table133.xml><?xml version="1.0" encoding="utf-8"?>
<table xmlns="http://schemas.openxmlformats.org/spreadsheetml/2006/main" id="135" name="ResumoMódulo461_136" displayName="ResumoMódulo461_136" ref="A107:D110" totalsRowCount="1">
  <autoFilter ref="A107:D109"/>
  <tableColumns count="4">
    <tableColumn id="1" name="4" totalsRowLabel="Total" dataDxfId="334"/>
    <tableColumn id="2" name="Custo de Reposição do Profissional Ausente" dataDxfId="335"/>
    <tableColumn id="3" name="Comentário" totalsRowLabel="*Nota: Se o titular USUFRUIR do descanso intrajornada, o total é o somatório dos subitens 4.1 e 4.2" dataDxfId="336"/>
    <tableColumn id="4" name="Valor" totalsRowFunction="custom">
      <totalsRowFormula>TRUNC((SUM(D108:D109)),2)</totalsRowFormula>
    </tableColumn>
  </tableColumns>
  <tableStyleInfo showFirstColumn="0" showLastColumn="0" showRowStripes="1" showColumnStripes="0"/>
</table>
</file>

<file path=xl/tables/table134.xml><?xml version="1.0" encoding="utf-8"?>
<table xmlns="http://schemas.openxmlformats.org/spreadsheetml/2006/main" id="136" name="Submódulo4.159_137" displayName="Submódulo4.159_137" ref="A92:D99" totalsRowCount="1">
  <autoFilter ref="A92:D98"/>
  <tableColumns count="4">
    <tableColumn id="1" name="4.1" totalsRowLabel="Total" dataDxfId="337"/>
    <tableColumn id="2" name="Substituto nas Ausências Legais" dataDxfId="338"/>
    <tableColumn id="3" name="Percentual" totalsRowFunction="sum" dataDxfId="339"/>
    <tableColumn id="4" name="Valor" totalsRowFunction="custom">
      <totalsRowFormula>TRUNC((SUM(D93:D98)),2)</totalsRowFormula>
    </tableColumn>
  </tableColumns>
  <tableStyleInfo showFirstColumn="0" showLastColumn="0" showRowStripes="1" showColumnStripes="0"/>
</table>
</file>

<file path=xl/tables/table135.xml><?xml version="1.0" encoding="utf-8"?>
<table xmlns="http://schemas.openxmlformats.org/spreadsheetml/2006/main" id="137" name="Submódulo4.260_138" displayName="Submódulo4.260_138" ref="A102:D104" totalsRowCount="1">
  <autoFilter ref="A102:D103"/>
  <tableColumns count="4">
    <tableColumn id="1" name="4.2" totalsRowLabel="Total" dataDxfId="340"/>
    <tableColumn id="2" name="Substituto na Intrajornada " dataDxfId="341"/>
    <tableColumn id="3" name="Comentário" dataDxfId="342"/>
    <tableColumn id="4" name="Valor" totalsRowFunction="custom">
      <totalsRowFormula>D103</totalsRowFormula>
    </tableColumn>
  </tableColumns>
  <tableStyleInfo showFirstColumn="0" showLastColumn="0" showRowStripes="1" showColumnStripes="0"/>
</table>
</file>

<file path=xl/tables/table136.xml><?xml version="1.0" encoding="utf-8"?>
<table xmlns="http://schemas.openxmlformats.org/spreadsheetml/2006/main" id="138" name="Table452_139" displayName="Table452_139" ref="A16:D21" totalsRowShown="0">
  <tableColumns count="4">
    <tableColumn id="1" name="Item" dataDxfId="343"/>
    <tableColumn id="2" name="Descrição" dataDxfId="344"/>
    <tableColumn id="3" name="Comentário" dataDxfId="345"/>
    <tableColumn id="4" name="Valor" dataDxfId="346"/>
  </tableColumns>
  <tableStyleInfo showFirstColumn="0" showLastColumn="0" showRowStripes="1" showColumnStripes="0"/>
</table>
</file>

<file path=xl/tables/table137.xml><?xml version="1.0" encoding="utf-8"?>
<table xmlns="http://schemas.openxmlformats.org/spreadsheetml/2006/main" id="139" name="Módulo358_140" displayName="Módulo358_140" ref="A76:D83" totalsRowCount="1">
  <autoFilter ref="A76:D82"/>
  <tableColumns count="4">
    <tableColumn id="1" name="3" totalsRowLabel="Total" dataDxfId="347"/>
    <tableColumn id="2" name="Provisão para Rescisão" dataDxfId="34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138.xml><?xml version="1.0" encoding="utf-8"?>
<table xmlns="http://schemas.openxmlformats.org/spreadsheetml/2006/main" id="140" name="Módulo153_141" displayName="Módulo153_141" ref="A24:D31" totalsRowCount="1">
  <autoFilter ref="A24:D30"/>
  <tableColumns count="4">
    <tableColumn id="1" name="1" totalsRowLabel="Total" dataDxfId="349"/>
    <tableColumn id="2" name="Composição da Remuneração" dataDxfId="350"/>
    <tableColumn id="3" name="Comentário" dataDxfId="351"/>
    <tableColumn id="4" name="Valor" totalsRowFunction="custom">
      <totalsRowFormula>TRUNC((SUM(D25:D30)),2)</totalsRowFormula>
    </tableColumn>
  </tableColumns>
  <tableStyleInfo showFirstColumn="0" showLastColumn="0" showRowStripes="1" showColumnStripes="0"/>
</table>
</file>

<file path=xl/tables/table139.xml><?xml version="1.0" encoding="utf-8"?>
<table xmlns="http://schemas.openxmlformats.org/spreadsheetml/2006/main" id="141" name="Submódulo2.356_142" displayName="Submódulo2.356_142" ref="A58:D66" totalsRowCount="1">
  <autoFilter ref="A58:D65"/>
  <tableColumns count="4">
    <tableColumn id="1" name="2.3" totalsRowLabel="Total" dataDxfId="352"/>
    <tableColumn id="2" name="Benefícios Mensais e Diários" dataDxfId="353"/>
    <tableColumn id="3" name="Comentário" dataDxfId="354"/>
    <tableColumn id="4" name="Valor" totalsRowFunction="custom">
      <totalsRowFormula>TRUNC((SUM(D59:D65)),2)</totalsRowFormula>
    </tableColumn>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40.xml><?xml version="1.0" encoding="utf-8"?>
<table xmlns="http://schemas.openxmlformats.org/spreadsheetml/2006/main" id="142" name="Table43_143" displayName="Table43_143" ref="A3:H19">
  <autoFilter ref="A3:H19"/>
  <tableColumns count="8">
    <tableColumn id="1" name="ITEM" totalsRowLabel="Total" dataDxfId="355"/>
    <tableColumn id="2" name="PEÇA" dataDxfId="356"/>
    <tableColumn id="3" name="DESCRIÇÃO" dataDxfId="357"/>
    <tableColumn id="4" name="UNIDADE" dataDxfId="358"/>
    <tableColumn id="5" name="VALOR MÉDIO UNITÁRIO (R$)" dataDxfId="359"/>
    <tableColumn id="6" name="QUANTIDADE ANUAL" dataDxfId="360"/>
    <tableColumn id="7" name="VALOR ANUAL POR EMPREGADO (R$)" dataDxfId="361"/>
    <tableColumn id="8" name="VALOR MENSAL POR EMPREGADO (R$)" totalsRowFunction="sum" dataDxfId="362"/>
  </tableColumns>
  <tableStyleInfo showFirstColumn="0" showLastColumn="0" showRowStripes="1" showColumnStripes="0"/>
</table>
</file>

<file path=xl/tables/table141.xml><?xml version="1.0" encoding="utf-8"?>
<table xmlns="http://schemas.openxmlformats.org/spreadsheetml/2006/main" id="5" name="Table44" displayName="Table44" ref="A118:F139" totalsRowCount="1">
  <autoFilter ref="A118:F138"/>
  <tableColumns count="6">
    <tableColumn id="1" name="ITEM" totalsRowLabel="Total" dataDxfId="363"/>
    <tableColumn id="2" name="DESCRIÇÃO" dataDxfId="364"/>
    <tableColumn id="3" name="UNIDADE" dataDxfId="365"/>
    <tableColumn id="4" name="QUANTIDADE" dataDxfId="366"/>
    <tableColumn id="5" name="VALOR UNITÁRIO" dataDxfId="367"/>
    <tableColumn id="6" name="VALOR TOTAL" totalsRowFunction="sum" dataDxfId="368"/>
  </tableColumns>
  <tableStyleInfo name="TableStyleMedium14" showFirstColumn="0" showLastColumn="0" showRowStripes="1" showColumnStripes="0"/>
</table>
</file>

<file path=xl/tables/table142.xml><?xml version="1.0" encoding="utf-8"?>
<table xmlns="http://schemas.openxmlformats.org/spreadsheetml/2006/main" id="7" name="Table39" displayName="Table39" ref="A2:G13" totalsRowCount="1">
  <tableColumns count="7">
    <tableColumn id="1" name="Item" totalsRowLabel="TOTAL"/>
    <tableColumn id="2" name="Descrição"/>
    <tableColumn id="3" name="Unidade"/>
    <tableColumn id="4" name="Quantidade" dataDxfId="369"/>
    <tableColumn id="5" name="VIGÊNCIA (Mês)" dataDxfId="370"/>
    <tableColumn id="6" name="VALOR UNITÁRIO MÁXIMO ACEITÁVEL" dataDxfId="371"/>
    <tableColumn id="7" name="VALOR &#10;TOTAL &#10;MÁXIMO &#10;ACEITÁVEL" totalsRowFunction="custom">
      <totalsRowFormula>SUM(G3:G12)</totalsRowFormula>
    </tableColumn>
  </tableColumns>
  <tableStyleInfo name="TableStyleMedium14"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103" name="Módulo358_57104" displayName="Módulo358_57104" ref="A76:D83" totalsRowCount="1">
  <autoFilter ref="A76:D82"/>
  <tableColumns count="4">
    <tableColumn id="1" name="3" totalsRowLabel="Total" dataDxfId="82"/>
    <tableColumn id="2" name="Provisão para Rescisão" dataDxfId="83"/>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4.xml><?xml version="1.0" encoding="utf-8"?>
<table xmlns="http://schemas.openxmlformats.org/spreadsheetml/2006/main" id="104" name="Módulo663_59105" displayName="Módulo663_59105" ref="A129:D136" totalsRowCount="1">
  <tableColumns count="4">
    <tableColumn id="1" name="6" totalsRowLabel="Total" dataDxfId="84"/>
    <tableColumn id="2" name="Custos Indiretos, Tributos e Lucro" dataDxfId="85"/>
    <tableColumn id="3" name="Percentual" dataDxfId="86"/>
    <tableColumn id="4" name="Valor" totalsRowFunction="custom">
      <totalsRowFormula>TRUNC(SUM(D130:D132),2)</totalsRowFormula>
    </tableColumn>
  </tableColumns>
  <tableStyleInfo showFirstColumn="0" showLastColumn="0" showRowStripes="1" showColumnStripes="0"/>
</table>
</file>

<file path=xl/tables/table25.xml><?xml version="1.0" encoding="utf-8"?>
<table xmlns="http://schemas.openxmlformats.org/spreadsheetml/2006/main" id="105" name="Table452_56106" displayName="Table452_56106" ref="A16:D21" totalsRowShown="0">
  <tableColumns count="4">
    <tableColumn id="1" name="Item" dataDxfId="87"/>
    <tableColumn id="2" name="Descrição" dataDxfId="88"/>
    <tableColumn id="3" name="Comentário" dataDxfId="89"/>
    <tableColumn id="4" name="Valor" dataDxfId="90"/>
  </tableColumns>
  <tableStyleInfo showFirstColumn="0" showLastColumn="0" showRowStripes="1" showColumnStripes="0"/>
</table>
</file>

<file path=xl/tables/table26.xml><?xml version="1.0" encoding="utf-8"?>
<table xmlns="http://schemas.openxmlformats.org/spreadsheetml/2006/main" id="106" name="Submódulo4.260_55107" displayName="Submódulo4.260_55107" ref="A102:D104" totalsRowCount="1">
  <autoFilter ref="A102:D103"/>
  <tableColumns count="4">
    <tableColumn id="1" name="4.2" totalsRowLabel="Total" dataDxfId="91"/>
    <tableColumn id="2" name="Substituto na Intrajornada " dataDxfId="92"/>
    <tableColumn id="3" name="Comentário" dataDxfId="93"/>
    <tableColumn id="4" name="Valor" totalsRowFunction="custom">
      <totalsRowFormula>D103</totalsRowFormula>
    </tableColumn>
  </tableColumns>
  <tableStyleInfo showFirstColumn="0" showLastColumn="0" showRowStripes="1" showColumnStripes="0"/>
</table>
</file>

<file path=xl/tables/table27.xml><?xml version="1.0" encoding="utf-8"?>
<table xmlns="http://schemas.openxmlformats.org/spreadsheetml/2006/main" id="107" name="ResumoPosto64_64108" displayName="ResumoPosto64_64108" ref="A140:D148" totalsRowShown="0">
  <autoFilter ref="A140:D148"/>
  <tableColumns count="4">
    <tableColumn id="1" name="Item" dataDxfId="94"/>
    <tableColumn id="2" name="Mão de obra vinculada à execução contratual" dataDxfId="95"/>
    <tableColumn id="3" name="-" dataDxfId="96"/>
    <tableColumn id="4" name="Valor" dataDxfId="97"/>
  </tableColumns>
  <tableStyleInfo showFirstColumn="0" showLastColumn="0" showRowStripes="1" showColumnStripes="0"/>
</table>
</file>

<file path=xl/tables/table28.xml><?xml version="1.0" encoding="utf-8"?>
<table xmlns="http://schemas.openxmlformats.org/spreadsheetml/2006/main" id="108" name="Módulo153_52109" displayName="Módulo153_52109" ref="A24:D31" totalsRowCount="1">
  <autoFilter ref="A24:D30"/>
  <tableColumns count="4">
    <tableColumn id="1" name="1" totalsRowLabel="Total" dataDxfId="98"/>
    <tableColumn id="2" name="Composição da Remuneração" dataDxfId="99"/>
    <tableColumn id="3" name="Comentário" dataDxfId="100"/>
    <tableColumn id="4" name="Valor" totalsRowFunction="custom">
      <totalsRowFormula>TRUNC((SUM(D25:D30)),2)</totalsRowFormula>
    </tableColumn>
  </tableColumns>
  <tableStyleInfo showFirstColumn="0" showLastColumn="0" showRowStripes="1" showColumnStripes="0"/>
</table>
</file>

<file path=xl/tables/table29.xml><?xml version="1.0" encoding="utf-8"?>
<table xmlns="http://schemas.openxmlformats.org/spreadsheetml/2006/main" id="109" name="Submódulo4.159_54110" displayName="Submódulo4.159_54110" ref="A92:D99" totalsRowCount="1">
  <autoFilter ref="A92:D98"/>
  <tableColumns count="4">
    <tableColumn id="1" name="4.1" totalsRowLabel="Total" dataDxfId="101"/>
    <tableColumn id="2" name="Substituto nas Ausências Legais" dataDxfId="102"/>
    <tableColumn id="3" name="Percentual" totalsRowFunction="sum" dataDxfId="103"/>
    <tableColumn id="4" name="Valor" totalsRowFunction="custom">
      <totalsRowFormula>TRUNC((SUM(D93:D98)),2)</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110" name="Submódulo2.154_61111" displayName="Submódulo2.154_61111" ref="A36:D39" totalsRowCount="1">
  <autoFilter ref="A36:D38"/>
  <tableColumns count="4">
    <tableColumn id="1" name="2.1" totalsRowLabel="Total" dataDxfId="104"/>
    <tableColumn id="2" name="13º (décimo terceiro) Salário, Férias e Adicional de Férias" dataDxfId="105"/>
    <tableColumn id="3" name="Percentual" dataDxfId="106"/>
    <tableColumn id="4" name="Valor" totalsRowFunction="custom">
      <totalsRowFormula>TRUNC((SUM(D37:D38)),2)</totalsRowFormula>
    </tableColumn>
  </tableColumns>
  <tableStyleInfo showFirstColumn="0" showLastColumn="0" showRowStripes="1" showColumnStripes="0"/>
</table>
</file>

<file path=xl/tables/table31.xml><?xml version="1.0" encoding="utf-8"?>
<table xmlns="http://schemas.openxmlformats.org/spreadsheetml/2006/main" id="111" name="Submódulo2.356_53112" displayName="Submódulo2.356_53112" ref="A58:D66" totalsRowCount="1">
  <autoFilter ref="A58:D65"/>
  <tableColumns count="4">
    <tableColumn id="1" name="2.3" totalsRowLabel="Total" dataDxfId="107"/>
    <tableColumn id="2" name="Benefícios Mensais e Diários" dataDxfId="108"/>
    <tableColumn id="3" name="Comentário" dataDxfId="109"/>
    <tableColumn id="4" name="Valor" totalsRowFunction="custom">
      <totalsRowFormula>TRUNC((SUM(D59:D65)),2)</totalsRowFormula>
    </tableColumn>
  </tableColumns>
  <tableStyleInfo showFirstColumn="0" showLastColumn="0" showRowStripes="1" showColumnStripes="0"/>
</table>
</file>

<file path=xl/tables/table32.xml><?xml version="1.0" encoding="utf-8"?>
<table xmlns="http://schemas.openxmlformats.org/spreadsheetml/2006/main" id="112" name="ResumoMódulo257_60113" displayName="ResumoMódulo257_60113" ref="A69:D73" totalsRowCount="1">
  <autoFilter ref="A69:D72"/>
  <tableColumns count="4">
    <tableColumn id="1" name="2" totalsRowLabel="Total" dataDxfId="110"/>
    <tableColumn id="2" name="Encargos e Benefícios Anuais, Mensais e Diários" dataDxfId="111"/>
    <tableColumn id="3" name="Comentário" dataDxfId="112"/>
    <tableColumn id="4" name="Valor" totalsRowFunction="custom">
      <totalsRowFormula>TRUNC((SUM(D70:D72)),2)</totalsRowFormula>
    </tableColumn>
  </tableColumns>
  <tableStyleInfo showFirstColumn="0" showLastColumn="0" showRowStripes="1" showColumnStripes="0"/>
</table>
</file>

<file path=xl/tables/table33.xml><?xml version="1.0" encoding="utf-8"?>
<table xmlns="http://schemas.openxmlformats.org/spreadsheetml/2006/main" id="113" name="Submódulo2.255_63114" displayName="Submódulo2.255_63114" ref="A46:D55" totalsRowCount="1">
  <autoFilter ref="A46:D54"/>
  <tableColumns count="4">
    <tableColumn id="1" name="2.2" totalsRowLabel="Total" dataDxfId="113"/>
    <tableColumn id="2" name="GPS, FGTS e outras contribuições" dataDxfId="114"/>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34.xml><?xml version="1.0" encoding="utf-8"?>
<table xmlns="http://schemas.openxmlformats.org/spreadsheetml/2006/main" id="114" name="ResumoMódulo461_62115" displayName="ResumoMódulo461_62115" ref="A107:D110" totalsRowCount="1">
  <autoFilter ref="A107:D109"/>
  <tableColumns count="4">
    <tableColumn id="1" name="4" totalsRowLabel="Total" dataDxfId="115"/>
    <tableColumn id="2" name="Custo de Reposição do Profissional Ausente" dataDxfId="116"/>
    <tableColumn id="3" name="Comentário" totalsRowLabel="*Nota: Se o titular USUFRUIR do descanso intrajornada, o total é o somatório dos subitens 4.1 e 4.2" dataDxfId="117"/>
    <tableColumn id="4" name="Valor" totalsRowFunction="custom">
      <totalsRowFormula>TRUNC((SUM(D108:D109)),2)</totalsRowFormula>
    </tableColumn>
  </tableColumns>
  <tableStyleInfo showFirstColumn="0" showLastColumn="0" showRowStripes="1" showColumnStripes="0"/>
</table>
</file>

<file path=xl/tables/table35.xml><?xml version="1.0" encoding="utf-8"?>
<table xmlns="http://schemas.openxmlformats.org/spreadsheetml/2006/main" id="115" name="Módulo562_58116" displayName="Módulo562_58116" ref="A113:D119" totalsRowCount="1">
  <autoFilter ref="A113:D118"/>
  <tableColumns count="4">
    <tableColumn id="1" name="5" totalsRowLabel="Total" dataDxfId="118"/>
    <tableColumn id="2" name="Insumos Diversos" dataDxfId="119"/>
    <tableColumn id="3" name="Comentário" dataDxfId="120"/>
    <tableColumn id="4" name="Valor" totalsRowFunction="custom">
      <totalsRowFormula>TRUNC(SUM(D114:D118),2)</totalsRowFormula>
    </tableColumn>
  </tableColumns>
  <tableStyleInfo showFirstColumn="0" showLastColumn="0" showRowStripes="1" showColumnStripes="0"/>
</table>
</file>

<file path=xl/tables/table36.xml><?xml version="1.0" encoding="utf-8"?>
<table xmlns="http://schemas.openxmlformats.org/spreadsheetml/2006/main" id="38" name="Módulo153_39" displayName="Módulo153_39" ref="A24:D31" totalsRowCount="1">
  <autoFilter ref="A24:D30"/>
  <tableColumns count="4">
    <tableColumn id="1" name="1" totalsRowLabel="Total" dataDxfId="121"/>
    <tableColumn id="2" name="Composição da Remuneração" dataDxfId="122"/>
    <tableColumn id="3" name="Comentário" dataDxfId="123"/>
    <tableColumn id="4" name="Valor" totalsRowFunction="custom">
      <totalsRowFormula>TRUNC(SUM(D25:D30),2)</totalsRowFormula>
    </tableColumn>
  </tableColumns>
  <tableStyleInfo showFirstColumn="0" showLastColumn="0" showRowStripes="1" showColumnStripes="0"/>
</table>
</file>

<file path=xl/tables/table37.xml><?xml version="1.0" encoding="utf-8"?>
<table xmlns="http://schemas.openxmlformats.org/spreadsheetml/2006/main" id="39" name="Submódulo2.356_40" displayName="Submódulo2.356_40" ref="A58:D66" totalsRowCount="1">
  <autoFilter ref="A58:D65"/>
  <tableColumns count="4">
    <tableColumn id="1" name="2.3" totalsRowLabel="Total" dataDxfId="124"/>
    <tableColumn id="2" name="Benefícios Mensais e Diários" dataDxfId="125"/>
    <tableColumn id="3" name="Comentário" dataDxfId="126"/>
    <tableColumn id="4" name="Valor" totalsRowFunction="custom">
      <totalsRowFormula>TRUNC((SUM(D59:D65)),2)</totalsRowFormula>
    </tableColumn>
  </tableColumns>
  <tableStyleInfo showFirstColumn="0" showLastColumn="0" showRowStripes="1" showColumnStripes="0"/>
</table>
</file>

<file path=xl/tables/table38.xml><?xml version="1.0" encoding="utf-8"?>
<table xmlns="http://schemas.openxmlformats.org/spreadsheetml/2006/main" id="40" name="Submódulo4.159_41" displayName="Submódulo4.159_41" ref="A92:D99" totalsRowCount="1">
  <autoFilter ref="A92:D98"/>
  <tableColumns count="4">
    <tableColumn id="1" name="4.1" totalsRowLabel="Total" dataDxfId="127"/>
    <tableColumn id="2" name="Substituto nas Ausências Legais" dataDxfId="128"/>
    <tableColumn id="3" name="Percentual" totalsRowFunction="sum" dataDxfId="129"/>
    <tableColumn id="4" name="Valor" totalsRowFunction="custom">
      <totalsRowFormula>TRUNC((SUM(D93:D98)),2)</totalsRowFormula>
    </tableColumn>
  </tableColumns>
  <tableStyleInfo showFirstColumn="0" showLastColumn="0" showRowStripes="1" showColumnStripes="0"/>
</table>
</file>

<file path=xl/tables/table39.xml><?xml version="1.0" encoding="utf-8"?>
<table xmlns="http://schemas.openxmlformats.org/spreadsheetml/2006/main" id="41" name="Submódulo4.260_42" displayName="Submódulo4.260_42" ref="A102:D104" totalsRowCount="1">
  <autoFilter ref="A102:D103"/>
  <tableColumns count="4">
    <tableColumn id="1" name="4.2" totalsRowLabel="Total" dataDxfId="130"/>
    <tableColumn id="2" name="Substituto na Intrajornada " dataDxfId="131"/>
    <tableColumn id="3" name="Comentário" dataDxfId="132"/>
    <tableColumn id="4" name="Valor" totalsRowFunction="custom">
      <totalsRowFormula>D103</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42" name="Table452_43" displayName="Table452_43" ref="A16:D21" totalsRowShown="0">
  <tableColumns count="4">
    <tableColumn id="1" name="Item" dataDxfId="133"/>
    <tableColumn id="2" name="Descrição" dataDxfId="134"/>
    <tableColumn id="3" name="Comentário" dataDxfId="135"/>
    <tableColumn id="4" name="Valor" dataDxfId="136"/>
  </tableColumns>
  <tableStyleInfo showFirstColumn="0" showLastColumn="0" showRowStripes="1" showColumnStripes="0"/>
</table>
</file>

<file path=xl/tables/table41.xml><?xml version="1.0" encoding="utf-8"?>
<table xmlns="http://schemas.openxmlformats.org/spreadsheetml/2006/main" id="43" name="Módulo358_44" displayName="Módulo358_44" ref="A76:D83" totalsRowCount="1">
  <autoFilter ref="A76:D82"/>
  <tableColumns count="4">
    <tableColumn id="1" name="3" totalsRowLabel="Total" dataDxfId="137"/>
    <tableColumn id="2" name="Provisão para Rescisão" dataDxfId="13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42.xml><?xml version="1.0" encoding="utf-8"?>
<table xmlns="http://schemas.openxmlformats.org/spreadsheetml/2006/main" id="44" name="Módulo562_45" displayName="Módulo562_45" ref="A113:D119" totalsRowCount="1">
  <autoFilter ref="A113:D118"/>
  <tableColumns count="4">
    <tableColumn id="1" name="5" totalsRowLabel="Total" dataDxfId="139"/>
    <tableColumn id="2" name="Insumos Diversos" dataDxfId="140"/>
    <tableColumn id="3" name="Comentário" dataDxfId="141"/>
    <tableColumn id="4" name="Valor" totalsRowFunction="custom">
      <totalsRowFormula>TRUNC(SUM(D114:D118),2)</totalsRowFormula>
    </tableColumn>
  </tableColumns>
  <tableStyleInfo showFirstColumn="0" showLastColumn="0" showRowStripes="1" showColumnStripes="0"/>
</table>
</file>

<file path=xl/tables/table43.xml><?xml version="1.0" encoding="utf-8"?>
<table xmlns="http://schemas.openxmlformats.org/spreadsheetml/2006/main" id="45" name="Módulo663_46" displayName="Módulo663_46" ref="A129:D136" totalsRowCount="1">
  <tableColumns count="4">
    <tableColumn id="1" name="6" totalsRowLabel="Total" dataDxfId="142"/>
    <tableColumn id="2" name="Custos Indiretos, Tributos e Lucro" dataDxfId="143"/>
    <tableColumn id="3" name="Percentual" dataDxfId="144"/>
    <tableColumn id="4" name="Valor" totalsRowFunction="custom">
      <totalsRowFormula>TRUNC(SUM(D130:D132),2)</totalsRowFormula>
    </tableColumn>
  </tableColumns>
  <tableStyleInfo showFirstColumn="0" showLastColumn="0" showRowStripes="1" showColumnStripes="0"/>
</table>
</file>

<file path=xl/tables/table44.xml><?xml version="1.0" encoding="utf-8"?>
<table xmlns="http://schemas.openxmlformats.org/spreadsheetml/2006/main" id="46" name="ResumoMódulo257_47" displayName="ResumoMódulo257_47" ref="A69:D73" totalsRowCount="1">
  <autoFilter ref="A69:D72"/>
  <tableColumns count="4">
    <tableColumn id="1" name="2" totalsRowLabel="Total" dataDxfId="145"/>
    <tableColumn id="2" name="Encargos e Benefícios Anuais, Mensais e Diários" dataDxfId="146"/>
    <tableColumn id="3" name="Comentário" dataDxfId="147"/>
    <tableColumn id="4" name="Valor" totalsRowFunction="custom">
      <totalsRowFormula>TRUNC((SUM(D70:D72)),2)</totalsRowFormula>
    </tableColumn>
  </tableColumns>
  <tableStyleInfo showFirstColumn="0" showLastColumn="0" showRowStripes="1" showColumnStripes="0"/>
</table>
</file>

<file path=xl/tables/table45.xml><?xml version="1.0" encoding="utf-8"?>
<table xmlns="http://schemas.openxmlformats.org/spreadsheetml/2006/main" id="47" name="Submódulo2.154_48" displayName="Submódulo2.154_48" ref="A36:D39" totalsRowCount="1">
  <autoFilter ref="A36:D38"/>
  <tableColumns count="4">
    <tableColumn id="1" name="2.1" totalsRowLabel="Total" dataDxfId="148"/>
    <tableColumn id="2" name="13º (décimo terceiro) Salário, Férias e Adicional de Férias" dataDxfId="149"/>
    <tableColumn id="3" name="Percentual" dataDxfId="150"/>
    <tableColumn id="4" name="Valor" totalsRowFunction="custom">
      <totalsRowFormula>TRUNC((SUM(D37:D38)),2)</totalsRowFormula>
    </tableColumn>
  </tableColumns>
  <tableStyleInfo showFirstColumn="0" showLastColumn="0" showRowStripes="1" showColumnStripes="0"/>
</table>
</file>

<file path=xl/tables/table46.xml><?xml version="1.0" encoding="utf-8"?>
<table xmlns="http://schemas.openxmlformats.org/spreadsheetml/2006/main" id="48" name="ResumoMódulo461_49" displayName="ResumoMódulo461_49" ref="A107:D110" totalsRowCount="1">
  <autoFilter ref="A107:D109"/>
  <tableColumns count="4">
    <tableColumn id="1" name="4" totalsRowLabel="Total" dataDxfId="151"/>
    <tableColumn id="2" name="Custo de Reposição do Profissional Ausente" dataDxfId="152"/>
    <tableColumn id="3" name="Comentário" totalsRowLabel="*Nota: Se o titular USUFRUIR do descanso intrajornada, o total é o somatório dos subitens 4.1 e 4.2" dataDxfId="153"/>
    <tableColumn id="4" name="Valor" totalsRowFunction="custom">
      <totalsRowFormula>TRUNC((SUM(D108:D109)),2)</totalsRowFormula>
    </tableColumn>
  </tableColumns>
  <tableStyleInfo showFirstColumn="0" showLastColumn="0" showRowStripes="1" showColumnStripes="0"/>
</table>
</file>

<file path=xl/tables/table47.xml><?xml version="1.0" encoding="utf-8"?>
<table xmlns="http://schemas.openxmlformats.org/spreadsheetml/2006/main" id="49" name="Submódulo2.255_50" displayName="Submódulo2.255_50" ref="A46:D55" totalsRowCount="1">
  <autoFilter ref="A46:D54"/>
  <tableColumns count="4">
    <tableColumn id="1" name="2.2" totalsRowLabel="Total" dataDxfId="154"/>
    <tableColumn id="2" name="GPS, FGTS e outras contribuições" dataDxfId="155"/>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48.xml><?xml version="1.0" encoding="utf-8"?>
<table xmlns="http://schemas.openxmlformats.org/spreadsheetml/2006/main" id="50" name="ResumoPosto64_51" displayName="ResumoPosto64_51" ref="A140:D148" totalsRowShown="0">
  <autoFilter ref="A140:D148"/>
  <tableColumns count="4">
    <tableColumn id="1" name="Item" dataDxfId="156"/>
    <tableColumn id="2" name="Mão de obra vinculada à execução contratual" dataDxfId="157"/>
    <tableColumn id="3" name="-" dataDxfId="158"/>
    <tableColumn id="4" name="Valor" dataDxfId="159"/>
  </tableColumns>
  <tableStyleInfo showFirstColumn="0" showLastColumn="0" showRowStripes="1" showColumnStripes="0"/>
</table>
</file>

<file path=xl/tables/table49.xml><?xml version="1.0" encoding="utf-8"?>
<table xmlns="http://schemas.openxmlformats.org/spreadsheetml/2006/main" id="51" name="Módulo153_52" displayName="Módulo153_52" ref="A24:D31" totalsRowCount="1">
  <autoFilter ref="A24:D30"/>
  <tableColumns count="4">
    <tableColumn id="1" name="1" totalsRowLabel="Total" dataDxfId="160"/>
    <tableColumn id="2" name="Composição da Remuneração" dataDxfId="161"/>
    <tableColumn id="3" name="Comentário" dataDxfId="162"/>
    <tableColumn id="4" name="Valor" totalsRowFunction="custom">
      <totalsRowFormula>TRUNC((SUM(D25:D30)),2)</totalsRowFormula>
    </tableColumn>
  </tableColumns>
  <tableStyleInfo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52" name="Submódulo2.356_53" displayName="Submódulo2.356_53" ref="A58:D66" totalsRowCount="1">
  <autoFilter ref="A58:D65"/>
  <tableColumns count="4">
    <tableColumn id="1" name="2.3" totalsRowLabel="Total" dataDxfId="163"/>
    <tableColumn id="2" name="Benefícios Mensais e Diários" dataDxfId="164"/>
    <tableColumn id="3" name="Comentário" dataDxfId="165"/>
    <tableColumn id="4" name="Valor" totalsRowFunction="custom">
      <totalsRowFormula>TRUNC((SUM(D59:D65)),2)</totalsRowFormula>
    </tableColumn>
  </tableColumns>
  <tableStyleInfo showFirstColumn="0" showLastColumn="0" showRowStripes="1" showColumnStripes="0"/>
</table>
</file>

<file path=xl/tables/table51.xml><?xml version="1.0" encoding="utf-8"?>
<table xmlns="http://schemas.openxmlformats.org/spreadsheetml/2006/main" id="53" name="Submódulo4.159_54" displayName="Submódulo4.159_54" ref="A92:D99" totalsRowCount="1">
  <autoFilter ref="A92:D98"/>
  <tableColumns count="4">
    <tableColumn id="1" name="4.1" totalsRowLabel="Total" dataDxfId="166"/>
    <tableColumn id="2" name="Substituto nas Ausências Legais" dataDxfId="167"/>
    <tableColumn id="3" name="Percentual" totalsRowFunction="sum" dataDxfId="168"/>
    <tableColumn id="4" name="Valor" totalsRowFunction="custom">
      <totalsRowFormula>TRUNC((SUM(D93:D98)),2)</totalsRowFormula>
    </tableColumn>
  </tableColumns>
  <tableStyleInfo showFirstColumn="0" showLastColumn="0" showRowStripes="1" showColumnStripes="0"/>
</table>
</file>

<file path=xl/tables/table52.xml><?xml version="1.0" encoding="utf-8"?>
<table xmlns="http://schemas.openxmlformats.org/spreadsheetml/2006/main" id="54" name="Submódulo4.260_55" displayName="Submódulo4.260_55" ref="A102:D104" totalsRowCount="1">
  <autoFilter ref="A102:D103"/>
  <tableColumns count="4">
    <tableColumn id="1" name="4.2" totalsRowLabel="Total" dataDxfId="169"/>
    <tableColumn id="2" name="Substituto na Intrajornada " dataDxfId="170"/>
    <tableColumn id="3" name="Comentário" dataDxfId="171"/>
    <tableColumn id="4" name="Valor" totalsRowFunction="custom">
      <totalsRowFormula>D103</totalsRowFormula>
    </tableColumn>
  </tableColumns>
  <tableStyleInfo showFirstColumn="0" showLastColumn="0" showRowStripes="1" showColumnStripes="0"/>
</table>
</file>

<file path=xl/tables/table53.xml><?xml version="1.0" encoding="utf-8"?>
<table xmlns="http://schemas.openxmlformats.org/spreadsheetml/2006/main" id="55" name="Table452_56" displayName="Table452_56" ref="A16:D21" totalsRowShown="0">
  <tableColumns count="4">
    <tableColumn id="1" name="Item" dataDxfId="172"/>
    <tableColumn id="2" name="Descrição" dataDxfId="173"/>
    <tableColumn id="3" name="Comentário" dataDxfId="174"/>
    <tableColumn id="4" name="Valor" dataDxfId="175"/>
  </tableColumns>
  <tableStyleInfo showFirstColumn="0" showLastColumn="0" showRowStripes="1" showColumnStripes="0"/>
</table>
</file>

<file path=xl/tables/table54.xml><?xml version="1.0" encoding="utf-8"?>
<table xmlns="http://schemas.openxmlformats.org/spreadsheetml/2006/main" id="56" name="Módulo358_57" displayName="Módulo358_57" ref="A76:D83" totalsRowCount="1">
  <autoFilter ref="A76:D82"/>
  <tableColumns count="4">
    <tableColumn id="1" name="3" totalsRowLabel="Total" dataDxfId="176"/>
    <tableColumn id="2" name="Provisão para Rescisão" dataDxfId="177"/>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55.xml><?xml version="1.0" encoding="utf-8"?>
<table xmlns="http://schemas.openxmlformats.org/spreadsheetml/2006/main" id="57" name="Módulo562_58" displayName="Módulo562_58" ref="A113:D119" totalsRowCount="1">
  <autoFilter ref="A113:D118"/>
  <tableColumns count="4">
    <tableColumn id="1" name="5" totalsRowLabel="Total" dataDxfId="178"/>
    <tableColumn id="2" name="Insumos Diversos" dataDxfId="179"/>
    <tableColumn id="3" name="Comentário" dataDxfId="180"/>
    <tableColumn id="4" name="Valor" totalsRowFunction="custom">
      <totalsRowFormula>TRUNC(SUM(D114:D118),2)</totalsRowFormula>
    </tableColumn>
  </tableColumns>
  <tableStyleInfo showFirstColumn="0" showLastColumn="0" showRowStripes="1" showColumnStripes="0"/>
</table>
</file>

<file path=xl/tables/table56.xml><?xml version="1.0" encoding="utf-8"?>
<table xmlns="http://schemas.openxmlformats.org/spreadsheetml/2006/main" id="58" name="Módulo663_59" displayName="Módulo663_59" ref="A129:D136" totalsRowCount="1">
  <tableColumns count="4">
    <tableColumn id="1" name="6" totalsRowLabel="Total" dataDxfId="181"/>
    <tableColumn id="2" name="Custos Indiretos, Tributos e Lucro" dataDxfId="182"/>
    <tableColumn id="3" name="Percentual" dataDxfId="183"/>
    <tableColumn id="4" name="Valor" totalsRowFunction="custom">
      <totalsRowFormula>TRUNC(SUM(D130:D132),2)</totalsRowFormula>
    </tableColumn>
  </tableColumns>
  <tableStyleInfo showFirstColumn="0" showLastColumn="0" showRowStripes="1" showColumnStripes="0"/>
</table>
</file>

<file path=xl/tables/table57.xml><?xml version="1.0" encoding="utf-8"?>
<table xmlns="http://schemas.openxmlformats.org/spreadsheetml/2006/main" id="59" name="ResumoMódulo257_60" displayName="ResumoMódulo257_60" ref="A69:D73" totalsRowCount="1">
  <autoFilter ref="A69:D72"/>
  <tableColumns count="4">
    <tableColumn id="1" name="2" totalsRowLabel="Total" dataDxfId="184"/>
    <tableColumn id="2" name="Encargos e Benefícios Anuais, Mensais e Diários" dataDxfId="185"/>
    <tableColumn id="3" name="Comentário" dataDxfId="186"/>
    <tableColumn id="4" name="Valor" totalsRowFunction="custom">
      <totalsRowFormula>TRUNC((SUM(D70:D72)),2)</totalsRowFormula>
    </tableColumn>
  </tableColumns>
  <tableStyleInfo showFirstColumn="0" showLastColumn="0" showRowStripes="1" showColumnStripes="0"/>
</table>
</file>

<file path=xl/tables/table58.xml><?xml version="1.0" encoding="utf-8"?>
<table xmlns="http://schemas.openxmlformats.org/spreadsheetml/2006/main" id="60" name="Submódulo2.154_61" displayName="Submódulo2.154_61" ref="A36:D39" totalsRowCount="1">
  <autoFilter ref="A36:D38"/>
  <tableColumns count="4">
    <tableColumn id="1" name="2.1" totalsRowLabel="Total" dataDxfId="187"/>
    <tableColumn id="2" name="13º (décimo terceiro) Salário, Férias e Adicional de Férias" dataDxfId="188"/>
    <tableColumn id="3" name="Percentual" dataDxfId="189"/>
    <tableColumn id="4" name="Valor" totalsRowFunction="custom">
      <totalsRowFormula>TRUNC((SUM(D37:D38)),2)</totalsRowFormula>
    </tableColumn>
  </tableColumns>
  <tableStyleInfo showFirstColumn="0" showLastColumn="0" showRowStripes="1" showColumnStripes="0"/>
</table>
</file>

<file path=xl/tables/table59.xml><?xml version="1.0" encoding="utf-8"?>
<table xmlns="http://schemas.openxmlformats.org/spreadsheetml/2006/main" id="61" name="ResumoMódulo461_62" displayName="ResumoMódulo461_62" ref="A107:D110" totalsRowCount="1">
  <autoFilter ref="A107:D109"/>
  <tableColumns count="4">
    <tableColumn id="1" name="4" totalsRowLabel="Total" dataDxfId="190"/>
    <tableColumn id="2" name="Custo de Reposição do Profissional Ausente" dataDxfId="191"/>
    <tableColumn id="3" name="Comentário" totalsRowLabel="*Nota: Se o titular USUFRUIR do descanso intrajornada, o total é o somatório dos subitens 4.1 e 4.2" dataDxfId="192"/>
    <tableColumn id="4" name="Valor" totalsRowFunction="custom">
      <totalsRowFormula>TRUNC((SUM(D108:D109)),2)</totalsRowFormula>
    </tableColumn>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60.xml><?xml version="1.0" encoding="utf-8"?>
<table xmlns="http://schemas.openxmlformats.org/spreadsheetml/2006/main" id="62" name="Submódulo2.255_63" displayName="Submódulo2.255_63" ref="A46:D55" totalsRowCount="1">
  <autoFilter ref="A46:D54"/>
  <tableColumns count="4">
    <tableColumn id="1" name="2.2" totalsRowLabel="Total" dataDxfId="193"/>
    <tableColumn id="2" name="GPS, FGTS e outras contribuições" dataDxfId="194"/>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61.xml><?xml version="1.0" encoding="utf-8"?>
<table xmlns="http://schemas.openxmlformats.org/spreadsheetml/2006/main" id="63" name="ResumoPosto64_64" displayName="ResumoPosto64_64" ref="A140:D148" totalsRowShown="0">
  <autoFilter ref="A140:D148"/>
  <tableColumns count="4">
    <tableColumn id="1" name="Item" dataDxfId="195"/>
    <tableColumn id="2" name="Mão de obra vinculada à execução contratual" dataDxfId="196"/>
    <tableColumn id="3" name="-" dataDxfId="197"/>
    <tableColumn id="4" name="Valor" dataDxfId="198"/>
  </tableColumns>
  <tableStyleInfo showFirstColumn="0" showLastColumn="0" showRowStripes="1" showColumnStripes="0"/>
</table>
</file>

<file path=xl/tables/table62.xml><?xml version="1.0" encoding="utf-8"?>
<table xmlns="http://schemas.openxmlformats.org/spreadsheetml/2006/main" id="90" name="Módulo562_5811691" displayName="Módulo562_5811691" ref="A113:D119" totalsRowCount="1">
  <autoFilter ref="A113:D118"/>
  <tableColumns count="4">
    <tableColumn id="1" name="5" totalsRowLabel="Total"/>
    <tableColumn id="2" name="Insumos Diversos"/>
    <tableColumn id="3" name="Comentário"/>
    <tableColumn id="4" name="Valor" totalsRowFunction="custom">
      <totalsRowFormula>TRUNC(SUM(D114:D118),2)</totalsRowFormula>
    </tableColumn>
  </tableColumns>
  <tableStyleInfo showFirstColumn="0" showLastColumn="0" showRowStripes="1" showColumnStripes="0"/>
</table>
</file>

<file path=xl/tables/table63.xml><?xml version="1.0" encoding="utf-8"?>
<table xmlns="http://schemas.openxmlformats.org/spreadsheetml/2006/main" id="91" name="Módulo358_5710492" displayName="Módulo358_5710492"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64.xml><?xml version="1.0" encoding="utf-8"?>
<table xmlns="http://schemas.openxmlformats.org/spreadsheetml/2006/main" id="92" name="Submódulo2.255_6311493" displayName="Submódulo2.255_6311493" ref="A46:D55" totalsRowCount="1">
  <autoFilter ref="A46:D54"/>
  <tableColumns count="4">
    <tableColumn id="1" name="2.2" totalsRowLabel="Total"/>
    <tableColumn id="2" name="GPS, FGTS e outras contribuições"/>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65.xml><?xml version="1.0" encoding="utf-8"?>
<table xmlns="http://schemas.openxmlformats.org/spreadsheetml/2006/main" id="93" name="Table452_5610694" displayName="Table452_5610694"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66.xml><?xml version="1.0" encoding="utf-8"?>
<table xmlns="http://schemas.openxmlformats.org/spreadsheetml/2006/main" id="94" name="ResumoPosto64_6410895" displayName="ResumoPosto64_6410895" ref="A140:D148" totalsRowShown="0">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67.xml><?xml version="1.0" encoding="utf-8"?>
<table xmlns="http://schemas.openxmlformats.org/spreadsheetml/2006/main" id="95" name="Módulo663_5910596" displayName="Módulo663_5910596" ref="A129:D136" totalsRowCount="1">
  <tableColumns count="4">
    <tableColumn id="1" name="6" totalsRowLabel="Total"/>
    <tableColumn id="2" name="Custos Indiretos, Tributos e Lucro"/>
    <tableColumn id="3" name="Percentual"/>
    <tableColumn id="4" name="Valor" totalsRowFunction="custom">
      <totalsRowFormula>TRUNC(SUM(D130:D132),2)</totalsRowFormula>
    </tableColumn>
  </tableColumns>
  <tableStyleInfo showFirstColumn="0" showLastColumn="0" showRowStripes="1" showColumnStripes="0"/>
</table>
</file>

<file path=xl/tables/table68.xml><?xml version="1.0" encoding="utf-8"?>
<table xmlns="http://schemas.openxmlformats.org/spreadsheetml/2006/main" id="96" name="Submódulo4.260_5510797" displayName="Submódulo4.260_5510797"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69.xml><?xml version="1.0" encoding="utf-8"?>
<table xmlns="http://schemas.openxmlformats.org/spreadsheetml/2006/main" id="97" name="ResumoMódulo257_6011398" displayName="ResumoMódulo257_6011398"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70.xml><?xml version="1.0" encoding="utf-8"?>
<table xmlns="http://schemas.openxmlformats.org/spreadsheetml/2006/main" id="98" name="ResumoMódulo461_6211599" displayName="ResumoMódulo461_6211599"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71.xml><?xml version="1.0" encoding="utf-8"?>
<table xmlns="http://schemas.openxmlformats.org/spreadsheetml/2006/main" id="99" name="Submódulo2.154_61111100" displayName="Submódulo2.154_61111100"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72.xml><?xml version="1.0" encoding="utf-8"?>
<table xmlns="http://schemas.openxmlformats.org/spreadsheetml/2006/main" id="100" name="Módulo153_52109101" displayName="Módulo153_52109101" ref="A24:D31" totalsRowCount="1">
  <autoFilter ref="A24:D30"/>
  <tableColumns count="4">
    <tableColumn id="1" name="1" totalsRowLabel="Total"/>
    <tableColumn id="2" name="Composição da Remuneração"/>
    <tableColumn id="3" name="Comentário"/>
    <tableColumn id="4" name="Valor" totalsRowFunction="custom">
      <totalsRowFormula>TRUNC((SUM(D25:D30)),2)</totalsRowFormula>
    </tableColumn>
  </tableColumns>
  <tableStyleInfo showFirstColumn="0" showLastColumn="0" showRowStripes="1" showColumnStripes="0"/>
</table>
</file>

<file path=xl/tables/table73.xml><?xml version="1.0" encoding="utf-8"?>
<table xmlns="http://schemas.openxmlformats.org/spreadsheetml/2006/main" id="101" name="Submódulo4.159_54110102" displayName="Submódulo4.159_54110102"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ables/table74.xml><?xml version="1.0" encoding="utf-8"?>
<table xmlns="http://schemas.openxmlformats.org/spreadsheetml/2006/main" id="102" name="Submódulo2.356_53112103" displayName="Submódulo2.356_53112103" ref="A58:D66" totalsRowCount="1">
  <autoFilter ref="A58:D65"/>
  <tableColumns count="4">
    <tableColumn id="1" name="2.3" totalsRowLabel="Total"/>
    <tableColumn id="2" name="Benefícios Mensais e Diários"/>
    <tableColumn id="3" name="Comentário"/>
    <tableColumn id="4" name="Valor" totalsRowFunction="custom">
      <totalsRowFormula>TRUNC((SUM(D59:D65)),2)</totalsRowFormula>
    </tableColumn>
  </tableColumns>
  <tableStyleInfo showFirstColumn="0" showLastColumn="0" showRowStripes="1" showColumnStripes="0"/>
</table>
</file>

<file path=xl/tables/table75.xml><?xml version="1.0" encoding="utf-8"?>
<table xmlns="http://schemas.openxmlformats.org/spreadsheetml/2006/main" id="64" name="Submódulo2.356_65" displayName="Submódulo2.356_65" ref="A58:D66" totalsRowCount="1">
  <autoFilter ref="A58:D65"/>
  <tableColumns count="4">
    <tableColumn id="1" name="2.3" totalsRowLabel="Total" dataDxfId="199"/>
    <tableColumn id="2" name="Benefícios Mensais e Diários" dataDxfId="200"/>
    <tableColumn id="3" name="Comentário" dataDxfId="201"/>
    <tableColumn id="4" name="Valor" totalsRowFunction="custom">
      <totalsRowFormula>TRUNC((SUM(D59:D65)),2)</totalsRowFormula>
    </tableColumn>
  </tableColumns>
  <tableStyleInfo showFirstColumn="0" showLastColumn="0" showRowStripes="1" showColumnStripes="0"/>
</table>
</file>

<file path=xl/tables/table76.xml><?xml version="1.0" encoding="utf-8"?>
<table xmlns="http://schemas.openxmlformats.org/spreadsheetml/2006/main" id="65" name="Módulo153_66" displayName="Módulo153_66" ref="A24:D31" totalsRowCount="1">
  <autoFilter ref="A24:D30"/>
  <tableColumns count="4">
    <tableColumn id="1" name="1" totalsRowLabel="Total" dataDxfId="202"/>
    <tableColumn id="2" name="Composição da Remuneração" dataDxfId="203"/>
    <tableColumn id="3" name="Comentário" dataDxfId="204"/>
    <tableColumn id="4" name="Valor" totalsRowFunction="custom">
      <totalsRowFormula>TRUNC((SUM(D25:D30)),2)</totalsRowFormula>
    </tableColumn>
  </tableColumns>
  <tableStyleInfo showFirstColumn="0" showLastColumn="0" showRowStripes="1" showColumnStripes="0"/>
</table>
</file>

<file path=xl/tables/table77.xml><?xml version="1.0" encoding="utf-8"?>
<table xmlns="http://schemas.openxmlformats.org/spreadsheetml/2006/main" id="66" name="Submódulo4.159_67" displayName="Submódulo4.159_67" ref="A92:D99" totalsRowCount="1">
  <autoFilter ref="A92:D98"/>
  <tableColumns count="4">
    <tableColumn id="1" name="4.1" totalsRowLabel="Total" dataDxfId="205"/>
    <tableColumn id="2" name="Substituto nas Ausências Legais" dataDxfId="206"/>
    <tableColumn id="3" name="Percentual" totalsRowFunction="sum" dataDxfId="207"/>
    <tableColumn id="4" name="Valor" totalsRowFunction="custom">
      <totalsRowFormula>TRUNC((SUM(D93:D98)),2)</totalsRowFormula>
    </tableColumn>
  </tableColumns>
  <tableStyleInfo showFirstColumn="0" showLastColumn="0" showRowStripes="1" showColumnStripes="0"/>
</table>
</file>

<file path=xl/tables/table78.xml><?xml version="1.0" encoding="utf-8"?>
<table xmlns="http://schemas.openxmlformats.org/spreadsheetml/2006/main" id="67" name="Módulo358_68" displayName="Módulo358_68" ref="A76:D83" totalsRowCount="1">
  <autoFilter ref="A76:D82"/>
  <tableColumns count="4">
    <tableColumn id="1" name="3" totalsRowLabel="Total" dataDxfId="208"/>
    <tableColumn id="2" name="Provisão para Rescisão" dataDxfId="209"/>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79.xml><?xml version="1.0" encoding="utf-8"?>
<table xmlns="http://schemas.openxmlformats.org/spreadsheetml/2006/main" id="68" name="Módulo562_69" displayName="Módulo562_69" ref="A113:D119" totalsRowCount="1">
  <autoFilter ref="A113:D118"/>
  <tableColumns count="4">
    <tableColumn id="1" name="5" totalsRowLabel="Total" dataDxfId="210"/>
    <tableColumn id="2" name="Insumos Diversos" dataDxfId="211"/>
    <tableColumn id="3" name="Comentário" dataDxfId="212"/>
    <tableColumn id="4" name="Valor" totalsRowFunction="custom">
      <totalsRowFormula>TRUNC(SUM(D114:D118),2)</totalsRowFormula>
    </tableColumn>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80.xml><?xml version="1.0" encoding="utf-8"?>
<table xmlns="http://schemas.openxmlformats.org/spreadsheetml/2006/main" id="69" name="Table452_70" displayName="Table452_70" ref="A16:D21" totalsRowShown="0">
  <tableColumns count="4">
    <tableColumn id="1" name="Item" dataDxfId="213"/>
    <tableColumn id="2" name="Descrição" dataDxfId="214"/>
    <tableColumn id="3" name="Comentário" dataDxfId="215"/>
    <tableColumn id="4" name="Valor" dataDxfId="216"/>
  </tableColumns>
  <tableStyleInfo showFirstColumn="0" showLastColumn="0" showRowStripes="1" showColumnStripes="0"/>
</table>
</file>

<file path=xl/tables/table81.xml><?xml version="1.0" encoding="utf-8"?>
<table xmlns="http://schemas.openxmlformats.org/spreadsheetml/2006/main" id="70" name="Submódulo4.260_71" displayName="Submódulo4.260_71" ref="A102:D104" totalsRowCount="1">
  <autoFilter ref="A102:D103"/>
  <tableColumns count="4">
    <tableColumn id="1" name="4.2" totalsRowLabel="Total" dataDxfId="217"/>
    <tableColumn id="2" name="Substituto na Intrajornada " dataDxfId="218"/>
    <tableColumn id="3" name="Comentário" dataDxfId="219"/>
    <tableColumn id="4" name="Valor" totalsRowFunction="custom">
      <totalsRowFormula>D103</totalsRowFormula>
    </tableColumn>
  </tableColumns>
  <tableStyleInfo showFirstColumn="0" showLastColumn="0" showRowStripes="1" showColumnStripes="0"/>
</table>
</file>

<file path=xl/tables/table82.xml><?xml version="1.0" encoding="utf-8"?>
<table xmlns="http://schemas.openxmlformats.org/spreadsheetml/2006/main" id="71" name="Módulo663_72" displayName="Módulo663_72" ref="A129:D136" totalsRowCount="1">
  <tableColumns count="4">
    <tableColumn id="1" name="6" totalsRowLabel="Total" dataDxfId="220"/>
    <tableColumn id="2" name="Custos Indiretos, Tributos e Lucro" dataDxfId="221"/>
    <tableColumn id="3" name="Percentual" dataDxfId="222"/>
    <tableColumn id="4" name="Valor" totalsRowFunction="custom">
      <totalsRowFormula>TRUNC(SUM(D130:D132),2)</totalsRowFormula>
    </tableColumn>
  </tableColumns>
  <tableStyleInfo showFirstColumn="0" showLastColumn="0" showRowStripes="1" showColumnStripes="0"/>
</table>
</file>

<file path=xl/tables/table83.xml><?xml version="1.0" encoding="utf-8"?>
<table xmlns="http://schemas.openxmlformats.org/spreadsheetml/2006/main" id="72" name="Submódulo2.154_73" displayName="Submódulo2.154_73" ref="A36:D39" totalsRowCount="1">
  <autoFilter ref="A36:D38"/>
  <tableColumns count="4">
    <tableColumn id="1" name="2.1" totalsRowLabel="Total" dataDxfId="223"/>
    <tableColumn id="2" name="13º (décimo terceiro) Salário, Férias e Adicional de Férias" dataDxfId="224"/>
    <tableColumn id="3" name="Percentual" dataDxfId="225"/>
    <tableColumn id="4" name="Valor" totalsRowFunction="custom">
      <totalsRowFormula>TRUNC((SUM(D37:D38)),2)</totalsRowFormula>
    </tableColumn>
  </tableColumns>
  <tableStyleInfo showFirstColumn="0" showLastColumn="0" showRowStripes="1" showColumnStripes="0"/>
</table>
</file>

<file path=xl/tables/table84.xml><?xml version="1.0" encoding="utf-8"?>
<table xmlns="http://schemas.openxmlformats.org/spreadsheetml/2006/main" id="73" name="ResumoMódulo257_74" displayName="ResumoMódulo257_74" ref="A69:D73" totalsRowCount="1">
  <autoFilter ref="A69:D72"/>
  <tableColumns count="4">
    <tableColumn id="1" name="2" totalsRowLabel="Total" dataDxfId="226"/>
    <tableColumn id="2" name="Encargos e Benefícios Anuais, Mensais e Diários" dataDxfId="227"/>
    <tableColumn id="3" name="Comentário" dataDxfId="228"/>
    <tableColumn id="4" name="Valor" totalsRowFunction="custom">
      <totalsRowFormula>TRUNC((SUM(D70:D72)),2)</totalsRowFormula>
    </tableColumn>
  </tableColumns>
  <tableStyleInfo showFirstColumn="0" showLastColumn="0" showRowStripes="1" showColumnStripes="0"/>
</table>
</file>

<file path=xl/tables/table85.xml><?xml version="1.0" encoding="utf-8"?>
<table xmlns="http://schemas.openxmlformats.org/spreadsheetml/2006/main" id="74" name="ResumoMódulo461_75" displayName="ResumoMódulo461_75" ref="A107:D110" totalsRowCount="1">
  <autoFilter ref="A107:D109"/>
  <tableColumns count="4">
    <tableColumn id="1" name="4" totalsRowLabel="Total" dataDxfId="229"/>
    <tableColumn id="2" name="Custo de Reposição do Profissional Ausente" dataDxfId="230"/>
    <tableColumn id="3" name="Comentário" totalsRowLabel="*Nota: Se o titular USUFRUIR do descanso intrajornada, o total é o somatório dos subitens 4.1 e 4.2" dataDxfId="231"/>
    <tableColumn id="4" name="Valor" totalsRowFunction="custom">
      <totalsRowFormula>TRUNC((SUM(D108:D109)),2)</totalsRowFormula>
    </tableColumn>
  </tableColumns>
  <tableStyleInfo showFirstColumn="0" showLastColumn="0" showRowStripes="1" showColumnStripes="0"/>
</table>
</file>

<file path=xl/tables/table86.xml><?xml version="1.0" encoding="utf-8"?>
<table xmlns="http://schemas.openxmlformats.org/spreadsheetml/2006/main" id="75" name="Submódulo2.255_76" displayName="Submódulo2.255_76" ref="A46:D55" totalsRowCount="1">
  <autoFilter ref="A46:D54"/>
  <tableColumns count="4">
    <tableColumn id="1" name="2.2" totalsRowLabel="Total" dataDxfId="232"/>
    <tableColumn id="2" name="GPS, FGTS e outras contribuições" dataDxfId="233"/>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87.xml><?xml version="1.0" encoding="utf-8"?>
<table xmlns="http://schemas.openxmlformats.org/spreadsheetml/2006/main" id="76" name="ResumoPosto64_77" displayName="ResumoPosto64_77" ref="A140:D148" totalsRowShown="0">
  <autoFilter ref="A140:D148"/>
  <tableColumns count="4">
    <tableColumn id="1" name="Item" dataDxfId="234"/>
    <tableColumn id="2" name="Mão de obra vinculada à execução contratual" dataDxfId="235"/>
    <tableColumn id="3" name="-" dataDxfId="236"/>
    <tableColumn id="4" name="Valor" dataDxfId="237"/>
  </tableColumns>
  <tableStyleInfo showFirstColumn="0" showLastColumn="0" showRowStripes="1" showColumnStripes="0"/>
</table>
</file>

<file path=xl/tables/table88.xml><?xml version="1.0" encoding="utf-8"?>
<table xmlns="http://schemas.openxmlformats.org/spreadsheetml/2006/main" id="77" name="Módulo153_78" displayName="Módulo153_78" ref="A24:D31" totalsRowCount="1">
  <autoFilter ref="A24:D30"/>
  <tableColumns count="4">
    <tableColumn id="1" name="1" totalsRowLabel="Total" dataDxfId="238"/>
    <tableColumn id="2" name="Composição da Remuneração" dataDxfId="239"/>
    <tableColumn id="3" name="Comentário" dataDxfId="240"/>
    <tableColumn id="4" name="Valor" totalsRowFunction="custom">
      <totalsRowFormula>TRUNC(SUM(D25:D30),2)</totalsRowFormula>
    </tableColumn>
  </tableColumns>
  <tableStyleInfo showFirstColumn="0" showLastColumn="0" showRowStripes="1" showColumnStripes="0"/>
</table>
</file>

<file path=xl/tables/table89.xml><?xml version="1.0" encoding="utf-8"?>
<table xmlns="http://schemas.openxmlformats.org/spreadsheetml/2006/main" id="78" name="Submódulo2.356_79" displayName="Submódulo2.356_79" ref="A58:D66" totalsRowCount="1">
  <autoFilter ref="A58:D65"/>
  <tableColumns count="4">
    <tableColumn id="1" name="2.3" totalsRowLabel="Total" dataDxfId="241"/>
    <tableColumn id="2" name="Benefícios Mensais e Diários" dataDxfId="242"/>
    <tableColumn id="3" name="Comentário" dataDxfId="243"/>
    <tableColumn id="4" name="Valor" totalsRowFunction="custom">
      <totalsRowFormula>TRUNC((SUM(D59:D65)),2)</totalsRowFormula>
    </tableColumn>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ables/table90.xml><?xml version="1.0" encoding="utf-8"?>
<table xmlns="http://schemas.openxmlformats.org/spreadsheetml/2006/main" id="79" name="Submódulo4.159_80" displayName="Submódulo4.159_80" ref="A92:D99" totalsRowCount="1">
  <autoFilter ref="A92:D98"/>
  <tableColumns count="4">
    <tableColumn id="1" name="4.1" totalsRowLabel="Total" dataDxfId="244"/>
    <tableColumn id="2" name="Substituto nas Ausências Legais" dataDxfId="245"/>
    <tableColumn id="3" name="Percentual" totalsRowFunction="sum" dataDxfId="246"/>
    <tableColumn id="4" name="Valor" totalsRowFunction="custom">
      <totalsRowFormula>TRUNC((SUM(D93:D98)),2)</totalsRowFormula>
    </tableColumn>
  </tableColumns>
  <tableStyleInfo showFirstColumn="0" showLastColumn="0" showRowStripes="1" showColumnStripes="0"/>
</table>
</file>

<file path=xl/tables/table91.xml><?xml version="1.0" encoding="utf-8"?>
<table xmlns="http://schemas.openxmlformats.org/spreadsheetml/2006/main" id="80" name="Submódulo4.260_81" displayName="Submódulo4.260_81" ref="A102:D104" totalsRowCount="1">
  <autoFilter ref="A102:D103"/>
  <tableColumns count="4">
    <tableColumn id="1" name="4.2" totalsRowLabel="Total" dataDxfId="247"/>
    <tableColumn id="2" name="Substituto na Intrajornada " dataDxfId="248"/>
    <tableColumn id="3" name="Comentário" dataDxfId="249"/>
    <tableColumn id="4" name="Valor" totalsRowFunction="custom">
      <totalsRowFormula>D103</totalsRowFormula>
    </tableColumn>
  </tableColumns>
  <tableStyleInfo showFirstColumn="0" showLastColumn="0" showRowStripes="1" showColumnStripes="0"/>
</table>
</file>

<file path=xl/tables/table92.xml><?xml version="1.0" encoding="utf-8"?>
<table xmlns="http://schemas.openxmlformats.org/spreadsheetml/2006/main" id="81" name="Table452_82" displayName="Table452_82" ref="A16:D21" totalsRowShown="0">
  <tableColumns count="4">
    <tableColumn id="1" name="Item" dataDxfId="250"/>
    <tableColumn id="2" name="Descrição" dataDxfId="251"/>
    <tableColumn id="3" name="Comentário" dataDxfId="252"/>
    <tableColumn id="4" name="Valor" dataDxfId="253"/>
  </tableColumns>
  <tableStyleInfo showFirstColumn="0" showLastColumn="0" showRowStripes="1" showColumnStripes="0"/>
</table>
</file>

<file path=xl/tables/table93.xml><?xml version="1.0" encoding="utf-8"?>
<table xmlns="http://schemas.openxmlformats.org/spreadsheetml/2006/main" id="82" name="Módulo358_83" displayName="Módulo358_83" ref="A76:D83" totalsRowCount="1">
  <autoFilter ref="A76:D82"/>
  <tableColumns count="4">
    <tableColumn id="1" name="3" totalsRowLabel="Total" dataDxfId="254"/>
    <tableColumn id="2" name="Provisão para Rescisão" dataDxfId="255"/>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94.xml><?xml version="1.0" encoding="utf-8"?>
<table xmlns="http://schemas.openxmlformats.org/spreadsheetml/2006/main" id="83" name="Módulo562_84" displayName="Módulo562_84" ref="A113:D119" totalsRowCount="1">
  <autoFilter ref="A113:D118"/>
  <tableColumns count="4">
    <tableColumn id="1" name="5" totalsRowLabel="Total" dataDxfId="256"/>
    <tableColumn id="2" name="Insumos Diversos" dataDxfId="257"/>
    <tableColumn id="3" name="Comentário" dataDxfId="258"/>
    <tableColumn id="4" name="Valor" totalsRowFunction="custom">
      <totalsRowFormula>TRUNC(SUM(D114:D118),2)</totalsRowFormula>
    </tableColumn>
  </tableColumns>
  <tableStyleInfo showFirstColumn="0" showLastColumn="0" showRowStripes="1" showColumnStripes="0"/>
</table>
</file>

<file path=xl/tables/table95.xml><?xml version="1.0" encoding="utf-8"?>
<table xmlns="http://schemas.openxmlformats.org/spreadsheetml/2006/main" id="84" name="Módulo663_85" displayName="Módulo663_85" ref="A129:D136" totalsRowCount="1">
  <tableColumns count="4">
    <tableColumn id="1" name="6" totalsRowLabel="Total" dataDxfId="259"/>
    <tableColumn id="2" name="Custos Indiretos, Tributos e Lucro" dataDxfId="260"/>
    <tableColumn id="3" name="Percentual" dataDxfId="261"/>
    <tableColumn id="4" name="Valor" totalsRowFunction="custom">
      <totalsRowFormula>TRUNC(SUM(D130:D132),2)</totalsRowFormula>
    </tableColumn>
  </tableColumns>
  <tableStyleInfo showFirstColumn="0" showLastColumn="0" showRowStripes="1" showColumnStripes="0"/>
</table>
</file>

<file path=xl/tables/table96.xml><?xml version="1.0" encoding="utf-8"?>
<table xmlns="http://schemas.openxmlformats.org/spreadsheetml/2006/main" id="85" name="ResumoMódulo257_86" displayName="ResumoMódulo257_86" ref="A69:D73" totalsRowCount="1">
  <autoFilter ref="A69:D72"/>
  <tableColumns count="4">
    <tableColumn id="1" name="2" totalsRowLabel="Total" dataDxfId="262"/>
    <tableColumn id="2" name="Encargos e Benefícios Anuais, Mensais e Diários" dataDxfId="263"/>
    <tableColumn id="3" name="Comentário" dataDxfId="264"/>
    <tableColumn id="4" name="Valor" totalsRowFunction="custom">
      <totalsRowFormula>TRUNC(SUM(D70:D72),2)</totalsRowFormula>
    </tableColumn>
  </tableColumns>
  <tableStyleInfo showFirstColumn="0" showLastColumn="0" showRowStripes="1" showColumnStripes="0"/>
</table>
</file>

<file path=xl/tables/table97.xml><?xml version="1.0" encoding="utf-8"?>
<table xmlns="http://schemas.openxmlformats.org/spreadsheetml/2006/main" id="86" name="Submódulo2.154_87" displayName="Submódulo2.154_87" ref="A36:D39" totalsRowCount="1">
  <autoFilter ref="A36:D38"/>
  <tableColumns count="4">
    <tableColumn id="1" name="2.1" totalsRowLabel="Total" dataDxfId="265"/>
    <tableColumn id="2" name="13º (décimo terceiro) Salário, Férias e Adicional de Férias" dataDxfId="266"/>
    <tableColumn id="3" name="Percentual" dataDxfId="267"/>
    <tableColumn id="4" name="Valor" totalsRowFunction="custom">
      <totalsRowFormula>TRUNC((SUM(D37:D38)),2)</totalsRowFormula>
    </tableColumn>
  </tableColumns>
  <tableStyleInfo showFirstColumn="0" showLastColumn="0" showRowStripes="1" showColumnStripes="0"/>
</table>
</file>

<file path=xl/tables/table98.xml><?xml version="1.0" encoding="utf-8"?>
<table xmlns="http://schemas.openxmlformats.org/spreadsheetml/2006/main" id="87" name="ResumoMódulo461_88" displayName="ResumoMódulo461_88" ref="A107:D110" totalsRowCount="1">
  <autoFilter ref="A107:D109"/>
  <tableColumns count="4">
    <tableColumn id="1" name="4" totalsRowLabel="Total" dataDxfId="268"/>
    <tableColumn id="2" name="Custo de Reposição do Profissional Ausente" dataDxfId="269"/>
    <tableColumn id="3" name="Comentário" totalsRowLabel="*Nota: Se o titular USUFRUIR do descanso intrajornada, o total é o somatório dos subitens 4.1 e 4.2" dataDxfId="270"/>
    <tableColumn id="4" name="Valor" totalsRowFunction="custom">
      <totalsRowFormula>TRUNC((SUM(D108:D109)),2)</totalsRowFormula>
    </tableColumn>
  </tableColumns>
  <tableStyleInfo showFirstColumn="0" showLastColumn="0" showRowStripes="1" showColumnStripes="0"/>
</table>
</file>

<file path=xl/tables/table99.xml><?xml version="1.0" encoding="utf-8"?>
<table xmlns="http://schemas.openxmlformats.org/spreadsheetml/2006/main" id="88" name="Submódulo2.255_89" displayName="Submódulo2.255_89" ref="A46:D55" totalsRowCount="1">
  <autoFilter ref="A46:D54"/>
  <tableColumns count="4">
    <tableColumn id="1" name="2.2" totalsRowLabel="Total" dataDxfId="271"/>
    <tableColumn id="2" name="GPS, FGTS e outras contribuições" dataDxfId="272"/>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0.xml.rels><?xml version="1.0" encoding="UTF-8" standalone="yes"?>
<Relationships xmlns="http://schemas.openxmlformats.org/package/2006/relationships"><Relationship Id="rId9" Type="http://schemas.openxmlformats.org/officeDocument/2006/relationships/table" Target="../tables/table122.xml"/><Relationship Id="rId8" Type="http://schemas.openxmlformats.org/officeDocument/2006/relationships/table" Target="../tables/table121.xml"/><Relationship Id="rId7" Type="http://schemas.openxmlformats.org/officeDocument/2006/relationships/table" Target="../tables/table120.xml"/><Relationship Id="rId6" Type="http://schemas.openxmlformats.org/officeDocument/2006/relationships/table" Target="../tables/table119.xml"/><Relationship Id="rId5" Type="http://schemas.openxmlformats.org/officeDocument/2006/relationships/table" Target="../tables/table118.xml"/><Relationship Id="rId4" Type="http://schemas.openxmlformats.org/officeDocument/2006/relationships/table" Target="../tables/table117.xml"/><Relationship Id="rId3" Type="http://schemas.openxmlformats.org/officeDocument/2006/relationships/table" Target="../tables/table116.xml"/><Relationship Id="rId2" Type="http://schemas.openxmlformats.org/officeDocument/2006/relationships/table" Target="../tables/table115.xml"/><Relationship Id="rId13" Type="http://schemas.openxmlformats.org/officeDocument/2006/relationships/table" Target="../tables/table126.xml"/><Relationship Id="rId12" Type="http://schemas.openxmlformats.org/officeDocument/2006/relationships/table" Target="../tables/table125.xml"/><Relationship Id="rId11" Type="http://schemas.openxmlformats.org/officeDocument/2006/relationships/table" Target="../tables/table124.xml"/><Relationship Id="rId10" Type="http://schemas.openxmlformats.org/officeDocument/2006/relationships/table" Target="../tables/table123.xml"/><Relationship Id="rId1" Type="http://schemas.openxmlformats.org/officeDocument/2006/relationships/table" Target="../tables/table114.xml"/></Relationships>
</file>

<file path=xl/worksheets/_rels/sheet11.xml.rels><?xml version="1.0" encoding="UTF-8" standalone="yes"?>
<Relationships xmlns="http://schemas.openxmlformats.org/package/2006/relationships"><Relationship Id="rId9" Type="http://schemas.openxmlformats.org/officeDocument/2006/relationships/table" Target="../tables/table135.xml"/><Relationship Id="rId8" Type="http://schemas.openxmlformats.org/officeDocument/2006/relationships/table" Target="../tables/table134.xml"/><Relationship Id="rId7" Type="http://schemas.openxmlformats.org/officeDocument/2006/relationships/table" Target="../tables/table133.xml"/><Relationship Id="rId6" Type="http://schemas.openxmlformats.org/officeDocument/2006/relationships/table" Target="../tables/table132.xml"/><Relationship Id="rId5" Type="http://schemas.openxmlformats.org/officeDocument/2006/relationships/table" Target="../tables/table131.xml"/><Relationship Id="rId4" Type="http://schemas.openxmlformats.org/officeDocument/2006/relationships/table" Target="../tables/table130.xml"/><Relationship Id="rId3" Type="http://schemas.openxmlformats.org/officeDocument/2006/relationships/table" Target="../tables/table129.xml"/><Relationship Id="rId2" Type="http://schemas.openxmlformats.org/officeDocument/2006/relationships/table" Target="../tables/table128.xml"/><Relationship Id="rId13" Type="http://schemas.openxmlformats.org/officeDocument/2006/relationships/table" Target="../tables/table139.xml"/><Relationship Id="rId12" Type="http://schemas.openxmlformats.org/officeDocument/2006/relationships/table" Target="../tables/table138.xml"/><Relationship Id="rId11" Type="http://schemas.openxmlformats.org/officeDocument/2006/relationships/table" Target="../tables/table137.xml"/><Relationship Id="rId10" Type="http://schemas.openxmlformats.org/officeDocument/2006/relationships/table" Target="../tables/table136.xml"/><Relationship Id="rId1" Type="http://schemas.openxmlformats.org/officeDocument/2006/relationships/table" Target="../tables/table127.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40.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41.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42.xml"/></Relationships>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9" Type="http://schemas.openxmlformats.org/officeDocument/2006/relationships/table" Target="../tables/table57.xml"/><Relationship Id="rId8" Type="http://schemas.openxmlformats.org/officeDocument/2006/relationships/table" Target="../tables/table56.xml"/><Relationship Id="rId7" Type="http://schemas.openxmlformats.org/officeDocument/2006/relationships/table" Target="../tables/table55.xm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 Id="rId3" Type="http://schemas.openxmlformats.org/officeDocument/2006/relationships/table" Target="../tables/table51.xml"/><Relationship Id="rId2" Type="http://schemas.openxmlformats.org/officeDocument/2006/relationships/table" Target="../tables/table50.xml"/><Relationship Id="rId13" Type="http://schemas.openxmlformats.org/officeDocument/2006/relationships/table" Target="../tables/table61.xml"/><Relationship Id="rId12" Type="http://schemas.openxmlformats.org/officeDocument/2006/relationships/table" Target="../tables/table60.xml"/><Relationship Id="rId11" Type="http://schemas.openxmlformats.org/officeDocument/2006/relationships/table" Target="../tables/table59.xml"/><Relationship Id="rId10" Type="http://schemas.openxmlformats.org/officeDocument/2006/relationships/table" Target="../tables/table58.xml"/><Relationship Id="rId1" Type="http://schemas.openxmlformats.org/officeDocument/2006/relationships/table" Target="../tables/table49.xml"/></Relationships>
</file>

<file path=xl/worksheets/_rels/sheet6.xml.rels><?xml version="1.0" encoding="UTF-8" standalone="yes"?>
<Relationships xmlns="http://schemas.openxmlformats.org/package/2006/relationships"><Relationship Id="rId9" Type="http://schemas.openxmlformats.org/officeDocument/2006/relationships/table" Target="../tables/table70.xml"/><Relationship Id="rId8" Type="http://schemas.openxmlformats.org/officeDocument/2006/relationships/table" Target="../tables/table69.xml"/><Relationship Id="rId7" Type="http://schemas.openxmlformats.org/officeDocument/2006/relationships/table" Target="../tables/table68.xml"/><Relationship Id="rId6" Type="http://schemas.openxmlformats.org/officeDocument/2006/relationships/table" Target="../tables/table67.xml"/><Relationship Id="rId5" Type="http://schemas.openxmlformats.org/officeDocument/2006/relationships/table" Target="../tables/table66.xml"/><Relationship Id="rId4" Type="http://schemas.openxmlformats.org/officeDocument/2006/relationships/table" Target="../tables/table65.xml"/><Relationship Id="rId3" Type="http://schemas.openxmlformats.org/officeDocument/2006/relationships/table" Target="../tables/table64.xml"/><Relationship Id="rId2" Type="http://schemas.openxmlformats.org/officeDocument/2006/relationships/table" Target="../tables/table63.xml"/><Relationship Id="rId13" Type="http://schemas.openxmlformats.org/officeDocument/2006/relationships/table" Target="../tables/table74.xml"/><Relationship Id="rId12" Type="http://schemas.openxmlformats.org/officeDocument/2006/relationships/table" Target="../tables/table73.xml"/><Relationship Id="rId11" Type="http://schemas.openxmlformats.org/officeDocument/2006/relationships/table" Target="../tables/table72.xml"/><Relationship Id="rId10" Type="http://schemas.openxmlformats.org/officeDocument/2006/relationships/table" Target="../tables/table71.xml"/><Relationship Id="rId1" Type="http://schemas.openxmlformats.org/officeDocument/2006/relationships/table" Target="../tables/table62.xml"/></Relationships>
</file>

<file path=xl/worksheets/_rels/sheet7.xml.rels><?xml version="1.0" encoding="UTF-8" standalone="yes"?>
<Relationships xmlns="http://schemas.openxmlformats.org/package/2006/relationships"><Relationship Id="rId9" Type="http://schemas.openxmlformats.org/officeDocument/2006/relationships/table" Target="../tables/table83.xml"/><Relationship Id="rId8" Type="http://schemas.openxmlformats.org/officeDocument/2006/relationships/table" Target="../tables/table82.xml"/><Relationship Id="rId7" Type="http://schemas.openxmlformats.org/officeDocument/2006/relationships/table" Target="../tables/table81.xml"/><Relationship Id="rId6" Type="http://schemas.openxmlformats.org/officeDocument/2006/relationships/table" Target="../tables/table80.xml"/><Relationship Id="rId5" Type="http://schemas.openxmlformats.org/officeDocument/2006/relationships/table" Target="../tables/table79.xml"/><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table" Target="../tables/table76.xml"/><Relationship Id="rId13" Type="http://schemas.openxmlformats.org/officeDocument/2006/relationships/table" Target="../tables/table87.xml"/><Relationship Id="rId12" Type="http://schemas.openxmlformats.org/officeDocument/2006/relationships/table" Target="../tables/table86.xml"/><Relationship Id="rId11" Type="http://schemas.openxmlformats.org/officeDocument/2006/relationships/table" Target="../tables/table85.xml"/><Relationship Id="rId10" Type="http://schemas.openxmlformats.org/officeDocument/2006/relationships/table" Target="../tables/table84.xml"/><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9" Type="http://schemas.openxmlformats.org/officeDocument/2006/relationships/table" Target="../tables/table96.xml"/><Relationship Id="rId8" Type="http://schemas.openxmlformats.org/officeDocument/2006/relationships/table" Target="../tables/table95.xml"/><Relationship Id="rId7" Type="http://schemas.openxmlformats.org/officeDocument/2006/relationships/table" Target="../tables/table94.xml"/><Relationship Id="rId6" Type="http://schemas.openxmlformats.org/officeDocument/2006/relationships/table" Target="../tables/table93.xml"/><Relationship Id="rId5" Type="http://schemas.openxmlformats.org/officeDocument/2006/relationships/table" Target="../tables/table92.xml"/><Relationship Id="rId4" Type="http://schemas.openxmlformats.org/officeDocument/2006/relationships/table" Target="../tables/table91.xml"/><Relationship Id="rId3" Type="http://schemas.openxmlformats.org/officeDocument/2006/relationships/table" Target="../tables/table90.xml"/><Relationship Id="rId2" Type="http://schemas.openxmlformats.org/officeDocument/2006/relationships/table" Target="../tables/table89.xml"/><Relationship Id="rId13" Type="http://schemas.openxmlformats.org/officeDocument/2006/relationships/table" Target="../tables/table100.xml"/><Relationship Id="rId12" Type="http://schemas.openxmlformats.org/officeDocument/2006/relationships/table" Target="../tables/table99.xml"/><Relationship Id="rId11" Type="http://schemas.openxmlformats.org/officeDocument/2006/relationships/table" Target="../tables/table98.xml"/><Relationship Id="rId10" Type="http://schemas.openxmlformats.org/officeDocument/2006/relationships/table" Target="../tables/table97.xml"/><Relationship Id="rId1" Type="http://schemas.openxmlformats.org/officeDocument/2006/relationships/table" Target="../tables/table88.xml"/></Relationships>
</file>

<file path=xl/worksheets/_rels/sheet9.xml.rels><?xml version="1.0" encoding="UTF-8" standalone="yes"?>
<Relationships xmlns="http://schemas.openxmlformats.org/package/2006/relationships"><Relationship Id="rId9" Type="http://schemas.openxmlformats.org/officeDocument/2006/relationships/table" Target="../tables/table109.xml"/><Relationship Id="rId8" Type="http://schemas.openxmlformats.org/officeDocument/2006/relationships/table" Target="../tables/table108.xml"/><Relationship Id="rId7" Type="http://schemas.openxmlformats.org/officeDocument/2006/relationships/table" Target="../tables/table107.xml"/><Relationship Id="rId6" Type="http://schemas.openxmlformats.org/officeDocument/2006/relationships/table" Target="../tables/table106.xml"/><Relationship Id="rId5" Type="http://schemas.openxmlformats.org/officeDocument/2006/relationships/table" Target="../tables/table105.xml"/><Relationship Id="rId4" Type="http://schemas.openxmlformats.org/officeDocument/2006/relationships/table" Target="../tables/table104.xml"/><Relationship Id="rId3" Type="http://schemas.openxmlformats.org/officeDocument/2006/relationships/table" Target="../tables/table103.xml"/><Relationship Id="rId2" Type="http://schemas.openxmlformats.org/officeDocument/2006/relationships/table" Target="../tables/table102.xml"/><Relationship Id="rId13" Type="http://schemas.openxmlformats.org/officeDocument/2006/relationships/table" Target="../tables/table113.xml"/><Relationship Id="rId12" Type="http://schemas.openxmlformats.org/officeDocument/2006/relationships/table" Target="../tables/table112.xml"/><Relationship Id="rId11" Type="http://schemas.openxmlformats.org/officeDocument/2006/relationships/table" Target="../tables/table111.xml"/><Relationship Id="rId10" Type="http://schemas.openxmlformats.org/officeDocument/2006/relationships/table" Target="../tables/table110.xml"/><Relationship Id="rId1" Type="http://schemas.openxmlformats.org/officeDocument/2006/relationships/table" Target="../tables/table10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5"/>
  <cols>
    <col min="1" max="1025" width="9" customWidth="1"/>
  </cols>
  <sheetData>
    <row r="1" spans="1:11">
      <c r="A1" s="239" t="s">
        <v>0</v>
      </c>
      <c r="B1" s="239"/>
      <c r="C1" s="239"/>
      <c r="D1" s="239"/>
      <c r="E1" s="239"/>
      <c r="F1" s="239"/>
      <c r="G1" s="239"/>
      <c r="H1" s="239"/>
      <c r="I1" s="239"/>
      <c r="J1" s="239"/>
      <c r="K1" s="239"/>
    </row>
    <row r="2" ht="57" customHeight="1" spans="1:11">
      <c r="A2" s="240" t="s">
        <v>1</v>
      </c>
      <c r="B2" s="240"/>
      <c r="C2" s="240"/>
      <c r="D2" s="240"/>
      <c r="E2" s="240"/>
      <c r="F2" s="240"/>
      <c r="G2" s="240"/>
      <c r="H2" s="240"/>
      <c r="I2" s="240"/>
      <c r="J2" s="240"/>
      <c r="K2" s="240"/>
    </row>
    <row r="3" ht="51" customHeight="1" spans="1:11">
      <c r="A3" s="240" t="s">
        <v>2</v>
      </c>
      <c r="B3" s="240"/>
      <c r="C3" s="240"/>
      <c r="D3" s="240"/>
      <c r="E3" s="240"/>
      <c r="F3" s="240"/>
      <c r="G3" s="240"/>
      <c r="H3" s="240"/>
      <c r="I3" s="240"/>
      <c r="J3" s="240"/>
      <c r="K3" s="240"/>
    </row>
    <row r="4" ht="54.75" customHeight="1" spans="1:11">
      <c r="A4" s="240" t="s">
        <v>3</v>
      </c>
      <c r="B4" s="240"/>
      <c r="C4" s="240"/>
      <c r="D4" s="240"/>
      <c r="E4" s="240"/>
      <c r="F4" s="240"/>
      <c r="G4" s="240"/>
      <c r="H4" s="240"/>
      <c r="I4" s="240"/>
      <c r="J4" s="240"/>
      <c r="K4" s="240"/>
    </row>
    <row r="5" ht="67.5" customHeight="1" spans="1:11">
      <c r="A5" s="241" t="s">
        <v>4</v>
      </c>
      <c r="B5" s="241"/>
      <c r="C5" s="241"/>
      <c r="D5" s="241"/>
      <c r="E5" s="241"/>
      <c r="F5" s="241"/>
      <c r="G5" s="241"/>
      <c r="H5" s="241"/>
      <c r="I5" s="241"/>
      <c r="J5" s="241"/>
      <c r="K5" s="241"/>
    </row>
    <row r="6" ht="84.75" customHeight="1" spans="1:11">
      <c r="A6" s="241" t="s">
        <v>5</v>
      </c>
      <c r="B6" s="241"/>
      <c r="C6" s="241"/>
      <c r="D6" s="241"/>
      <c r="E6" s="241"/>
      <c r="F6" s="241"/>
      <c r="G6" s="241"/>
      <c r="H6" s="241"/>
      <c r="I6" s="241"/>
      <c r="J6" s="241"/>
      <c r="K6" s="241"/>
    </row>
    <row r="7" ht="49.5" customHeight="1" spans="1:11">
      <c r="A7" s="241" t="s">
        <v>6</v>
      </c>
      <c r="B7" s="241"/>
      <c r="C7" s="241"/>
      <c r="D7" s="241"/>
      <c r="E7" s="241"/>
      <c r="F7" s="241"/>
      <c r="G7" s="241"/>
      <c r="H7" s="241"/>
      <c r="I7" s="241"/>
      <c r="J7" s="241"/>
      <c r="K7" s="241"/>
    </row>
    <row r="8" ht="38.25" customHeight="1" spans="1:11">
      <c r="A8" s="241" t="s">
        <v>7</v>
      </c>
      <c r="B8" s="241"/>
      <c r="C8" s="241"/>
      <c r="D8" s="241"/>
      <c r="E8" s="241"/>
      <c r="F8" s="241"/>
      <c r="G8" s="241"/>
      <c r="H8" s="241"/>
      <c r="I8" s="241"/>
      <c r="J8" s="241"/>
      <c r="K8" s="241"/>
    </row>
    <row r="9" ht="39.75" customHeight="1" spans="1:11">
      <c r="A9" s="240" t="s">
        <v>8</v>
      </c>
      <c r="B9" s="240"/>
      <c r="C9" s="240"/>
      <c r="D9" s="240"/>
      <c r="E9" s="240"/>
      <c r="F9" s="240"/>
      <c r="G9" s="240"/>
      <c r="H9" s="240"/>
      <c r="I9" s="240"/>
      <c r="J9" s="240"/>
      <c r="K9" s="240"/>
    </row>
    <row r="10" ht="41.25" customHeight="1" spans="1:11">
      <c r="A10" s="240" t="s">
        <v>9</v>
      </c>
      <c r="B10" s="240"/>
      <c r="C10" s="240"/>
      <c r="D10" s="240"/>
      <c r="E10" s="240"/>
      <c r="F10" s="240"/>
      <c r="G10" s="240"/>
      <c r="H10" s="240"/>
      <c r="I10" s="240"/>
      <c r="J10" s="240"/>
      <c r="K10" s="240"/>
    </row>
    <row r="11" ht="41.25" customHeight="1" spans="1:11">
      <c r="A11" s="242" t="s">
        <v>10</v>
      </c>
      <c r="B11" s="242"/>
      <c r="C11" s="242"/>
      <c r="D11" s="242"/>
      <c r="E11" s="242"/>
      <c r="F11" s="242"/>
      <c r="G11" s="242"/>
      <c r="H11" s="242"/>
      <c r="I11" s="242"/>
      <c r="J11" s="242"/>
      <c r="K11" s="242"/>
    </row>
    <row r="12" spans="1:11">
      <c r="A12" s="243" t="s">
        <v>11</v>
      </c>
      <c r="B12" s="243"/>
      <c r="C12" s="243"/>
      <c r="D12" s="243"/>
      <c r="E12" s="243"/>
      <c r="F12" s="243"/>
      <c r="G12" s="243"/>
      <c r="H12" s="243"/>
      <c r="I12" s="243"/>
      <c r="J12" s="243"/>
      <c r="K12" s="243"/>
    </row>
    <row r="13" spans="1:11">
      <c r="A13" s="244" t="s">
        <v>12</v>
      </c>
      <c r="B13" s="244"/>
      <c r="C13" s="244"/>
      <c r="D13" s="244"/>
      <c r="E13" s="244"/>
      <c r="F13" s="244"/>
      <c r="G13" s="244"/>
      <c r="H13" s="244"/>
      <c r="I13" s="244"/>
      <c r="J13" s="244"/>
      <c r="K13" s="244"/>
    </row>
    <row r="14" spans="1:11">
      <c r="A14" s="244" t="s">
        <v>13</v>
      </c>
      <c r="B14" s="244"/>
      <c r="C14" s="244"/>
      <c r="D14" s="244"/>
      <c r="E14" s="244"/>
      <c r="F14" s="244"/>
      <c r="G14" s="244"/>
      <c r="H14" s="244"/>
      <c r="I14" s="244"/>
      <c r="J14" s="244"/>
      <c r="K14" s="244"/>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topLeftCell="A66" workbookViewId="0">
      <selection activeCell="F147" sqref="F147"/>
    </sheetView>
  </sheetViews>
  <sheetFormatPr defaultColWidth="9.14285714285714" defaultRowHeight="15" outlineLevelCol="6"/>
  <cols>
    <col min="1" max="1" width="11.2857142857143" style="106" customWidth="1"/>
    <col min="2" max="2" width="48.5714285714286" customWidth="1"/>
    <col min="3" max="3" width="30" customWidth="1"/>
    <col min="4" max="4" width="41" customWidth="1"/>
    <col min="6" max="6" width="22.8571428571429" customWidth="1"/>
    <col min="7" max="7" width="15.3904761904762" customWidth="1"/>
    <col min="8" max="8" width="10.7904761904762" customWidth="1"/>
    <col min="9" max="9" width="11.9047619047619" customWidth="1"/>
  </cols>
  <sheetData>
    <row r="2" ht="19.5" spans="1:4">
      <c r="A2" s="121" t="s">
        <v>177</v>
      </c>
      <c r="B2" s="122"/>
      <c r="C2" s="122"/>
      <c r="D2" s="122"/>
    </row>
    <row r="3" ht="15.75" spans="1:4">
      <c r="A3" s="123" t="s">
        <v>178</v>
      </c>
      <c r="B3" s="124"/>
      <c r="C3" s="124"/>
      <c r="D3" s="124"/>
    </row>
    <row r="4" spans="1:4">
      <c r="A4" s="125" t="s">
        <v>179</v>
      </c>
      <c r="B4" s="126" t="s">
        <v>180</v>
      </c>
      <c r="C4" s="127"/>
      <c r="D4" s="127"/>
    </row>
    <row r="5" spans="1:4">
      <c r="A5" s="128"/>
      <c r="B5" s="129"/>
      <c r="C5" s="129"/>
      <c r="D5" s="129"/>
    </row>
    <row r="6" ht="15.75" spans="1:4">
      <c r="A6" s="130" t="s">
        <v>181</v>
      </c>
      <c r="B6" s="131"/>
      <c r="C6" s="131"/>
      <c r="D6" s="131"/>
    </row>
    <row r="7" ht="15.75" spans="1:4">
      <c r="A7" s="132" t="s">
        <v>42</v>
      </c>
      <c r="B7" s="133" t="s">
        <v>182</v>
      </c>
      <c r="C7" s="134" t="s">
        <v>183</v>
      </c>
      <c r="D7" s="134"/>
    </row>
    <row r="8" spans="1:4">
      <c r="A8" s="135" t="s">
        <v>45</v>
      </c>
      <c r="B8" s="136" t="s">
        <v>184</v>
      </c>
      <c r="C8" s="137" t="s">
        <v>185</v>
      </c>
      <c r="D8" s="137"/>
    </row>
    <row r="9" spans="1:4">
      <c r="A9" s="138" t="s">
        <v>48</v>
      </c>
      <c r="B9" s="139" t="s">
        <v>186</v>
      </c>
      <c r="C9" s="137" t="s">
        <v>187</v>
      </c>
      <c r="D9" s="137"/>
    </row>
    <row r="10" spans="1:4">
      <c r="A10" s="135" t="s">
        <v>53</v>
      </c>
      <c r="B10" s="136" t="s">
        <v>188</v>
      </c>
      <c r="C10" s="137" t="s">
        <v>189</v>
      </c>
      <c r="D10" s="137"/>
    </row>
    <row r="11" ht="15.75" spans="1:4">
      <c r="A11" s="140" t="s">
        <v>190</v>
      </c>
      <c r="B11" s="141"/>
      <c r="C11" s="141"/>
      <c r="D11" s="141"/>
    </row>
    <row r="12" ht="16.5" spans="1:4">
      <c r="A12" s="142" t="s">
        <v>191</v>
      </c>
      <c r="B12" s="143"/>
      <c r="C12" s="141" t="s">
        <v>192</v>
      </c>
      <c r="D12" s="144" t="s">
        <v>193</v>
      </c>
    </row>
    <row r="13" ht="15.75" spans="1:4">
      <c r="A13" s="145" t="s">
        <v>245</v>
      </c>
      <c r="B13" s="146"/>
      <c r="C13" s="137" t="s">
        <v>195</v>
      </c>
      <c r="D13" s="147">
        <v>1</v>
      </c>
    </row>
    <row r="14" spans="1:4">
      <c r="A14" s="148"/>
      <c r="B14" s="149"/>
      <c r="C14" s="137"/>
      <c r="D14" s="150"/>
    </row>
    <row r="15" ht="15.75" spans="1:7">
      <c r="A15" s="140" t="s">
        <v>14</v>
      </c>
      <c r="B15" s="141"/>
      <c r="C15" s="141"/>
      <c r="D15" s="141"/>
      <c r="F15" s="151"/>
      <c r="G15" s="151"/>
    </row>
    <row r="16" ht="15.75" spans="1:4">
      <c r="A16" s="152" t="s">
        <v>16</v>
      </c>
      <c r="B16" t="s">
        <v>17</v>
      </c>
      <c r="C16" s="153" t="s">
        <v>18</v>
      </c>
      <c r="D16" s="153" t="s">
        <v>19</v>
      </c>
    </row>
    <row r="17" spans="1:4">
      <c r="A17" s="152">
        <v>1</v>
      </c>
      <c r="B17" t="s">
        <v>20</v>
      </c>
      <c r="C17" s="154" t="s">
        <v>102</v>
      </c>
      <c r="D17" s="154" t="str">
        <f>A13</f>
        <v>Jardineiro</v>
      </c>
    </row>
    <row r="18" spans="1:4">
      <c r="A18" s="152">
        <v>2</v>
      </c>
      <c r="B18" t="s">
        <v>23</v>
      </c>
      <c r="C18" s="154" t="s">
        <v>196</v>
      </c>
      <c r="D18" s="154" t="s">
        <v>246</v>
      </c>
    </row>
    <row r="19" spans="1:4">
      <c r="A19" s="152">
        <v>3</v>
      </c>
      <c r="B19" t="s">
        <v>26</v>
      </c>
      <c r="C19" s="154" t="str">
        <f>C9</f>
        <v>CCT PB000071/2023</v>
      </c>
      <c r="D19" s="155">
        <v>1336</v>
      </c>
    </row>
    <row r="20" spans="1:4">
      <c r="A20" s="152">
        <v>4</v>
      </c>
      <c r="B20" t="s">
        <v>29</v>
      </c>
      <c r="C20" s="154" t="str">
        <f>C9</f>
        <v>CCT PB000071/2023</v>
      </c>
      <c r="D20" s="156" t="s">
        <v>198</v>
      </c>
    </row>
    <row r="21" spans="1:4">
      <c r="A21" s="152">
        <v>5</v>
      </c>
      <c r="B21" t="s">
        <v>33</v>
      </c>
      <c r="C21" s="154" t="str">
        <f>C9</f>
        <v>CCT PB000071/2023</v>
      </c>
      <c r="D21" s="157" t="s">
        <v>199</v>
      </c>
    </row>
    <row r="22" spans="6:7">
      <c r="F22" s="151"/>
      <c r="G22" s="151"/>
    </row>
    <row r="23" spans="1:4">
      <c r="A23" s="130" t="s">
        <v>36</v>
      </c>
      <c r="B23" s="131"/>
      <c r="C23" s="131"/>
      <c r="D23" s="131"/>
    </row>
    <row r="24" spans="1:7">
      <c r="A24" s="152" t="s">
        <v>39</v>
      </c>
      <c r="B24" s="158" t="s">
        <v>40</v>
      </c>
      <c r="C24" s="153" t="s">
        <v>18</v>
      </c>
      <c r="D24" s="153" t="s">
        <v>19</v>
      </c>
      <c r="G24" s="159"/>
    </row>
    <row r="25" spans="1:7">
      <c r="A25" s="152" t="s">
        <v>42</v>
      </c>
      <c r="B25" t="s">
        <v>43</v>
      </c>
      <c r="C25" s="156" t="s">
        <v>247</v>
      </c>
      <c r="D25" s="155">
        <f>D19</f>
        <v>1336</v>
      </c>
      <c r="G25" s="159"/>
    </row>
    <row r="26" spans="1:7">
      <c r="A26" s="152" t="s">
        <v>45</v>
      </c>
      <c r="B26" t="s">
        <v>46</v>
      </c>
      <c r="C26" s="156"/>
      <c r="D26" s="155">
        <v>0</v>
      </c>
      <c r="G26" s="159"/>
    </row>
    <row r="27" spans="1:4">
      <c r="A27" s="152" t="s">
        <v>48</v>
      </c>
      <c r="B27" t="s">
        <v>49</v>
      </c>
      <c r="C27" s="156"/>
      <c r="D27" s="155">
        <v>0</v>
      </c>
    </row>
    <row r="28" spans="1:4">
      <c r="A28" s="152" t="s">
        <v>50</v>
      </c>
      <c r="B28" t="s">
        <v>51</v>
      </c>
      <c r="C28" s="156"/>
      <c r="D28" s="155">
        <v>0</v>
      </c>
    </row>
    <row r="29" spans="1:4">
      <c r="A29" s="152" t="s">
        <v>53</v>
      </c>
      <c r="B29" t="s">
        <v>54</v>
      </c>
      <c r="C29" s="156"/>
      <c r="D29" s="155">
        <v>0</v>
      </c>
    </row>
    <row r="30" spans="1:4">
      <c r="A30" s="152" t="s">
        <v>55</v>
      </c>
      <c r="B30" t="s">
        <v>56</v>
      </c>
      <c r="C30" s="156"/>
      <c r="D30" s="155">
        <v>0</v>
      </c>
    </row>
    <row r="31" spans="1:7">
      <c r="A31" s="152" t="s">
        <v>58</v>
      </c>
      <c r="C31" s="153"/>
      <c r="D31" s="160">
        <f>TRUNC((SUM(D25:D30)),2)</f>
        <v>1336</v>
      </c>
      <c r="F31" s="151"/>
      <c r="G31" s="151"/>
    </row>
    <row r="33" spans="1:7">
      <c r="A33" s="161" t="s">
        <v>61</v>
      </c>
      <c r="B33" s="162"/>
      <c r="C33" s="162"/>
      <c r="D33" s="162"/>
      <c r="G33" s="159"/>
    </row>
    <row r="35" spans="1:4">
      <c r="A35" s="163" t="s">
        <v>63</v>
      </c>
      <c r="B35" s="151"/>
      <c r="C35" s="151"/>
      <c r="D35" s="151"/>
    </row>
    <row r="36" spans="1:4">
      <c r="A36" s="152" t="s">
        <v>65</v>
      </c>
      <c r="B36" s="158" t="s">
        <v>66</v>
      </c>
      <c r="C36" s="153" t="s">
        <v>38</v>
      </c>
      <c r="D36" s="153" t="s">
        <v>19</v>
      </c>
    </row>
    <row r="37" spans="1:7">
      <c r="A37" s="152" t="s">
        <v>42</v>
      </c>
      <c r="B37" t="s">
        <v>67</v>
      </c>
      <c r="C37" s="164">
        <f>(1/12)</f>
        <v>0.0833333333333333</v>
      </c>
      <c r="D37" s="160">
        <f>TRUNC($D$31*C37,2)</f>
        <v>111.33</v>
      </c>
      <c r="F37" s="165"/>
      <c r="G37" s="165"/>
    </row>
    <row r="38" spans="1:7">
      <c r="A38" s="152" t="s">
        <v>45</v>
      </c>
      <c r="B38" t="s">
        <v>68</v>
      </c>
      <c r="C38" s="164">
        <f>(((1+1/3)/12))</f>
        <v>0.111111111111111</v>
      </c>
      <c r="D38" s="160">
        <f>TRUNC($D$31*C38,2)</f>
        <v>148.44</v>
      </c>
      <c r="F38" s="165"/>
      <c r="G38" s="165"/>
    </row>
    <row r="39" spans="1:7">
      <c r="A39" s="152" t="s">
        <v>58</v>
      </c>
      <c r="D39" s="160">
        <f>TRUNC((SUM(D37:D38)),2)</f>
        <v>259.77</v>
      </c>
      <c r="F39" s="165"/>
      <c r="G39" s="165"/>
    </row>
    <row r="40" ht="15.75" spans="4:7">
      <c r="D40" s="160"/>
      <c r="F40" s="165"/>
      <c r="G40" s="165"/>
    </row>
    <row r="41" ht="16.5" spans="1:7">
      <c r="A41" s="161" t="s">
        <v>201</v>
      </c>
      <c r="B41" s="161"/>
      <c r="C41" s="166" t="s">
        <v>202</v>
      </c>
      <c r="D41" s="167">
        <f>D31</f>
        <v>1336</v>
      </c>
      <c r="F41" s="165"/>
      <c r="G41" s="165"/>
    </row>
    <row r="42" ht="16.5" spans="1:7">
      <c r="A42" s="161"/>
      <c r="B42" s="161"/>
      <c r="C42" s="168" t="s">
        <v>203</v>
      </c>
      <c r="D42" s="167">
        <f>D39</f>
        <v>259.77</v>
      </c>
      <c r="F42" s="165"/>
      <c r="G42" s="165"/>
    </row>
    <row r="43" ht="16.5" spans="1:7">
      <c r="A43" s="161"/>
      <c r="B43" s="161"/>
      <c r="C43" s="166" t="s">
        <v>204</v>
      </c>
      <c r="D43" s="169">
        <f>TRUNC((SUM(D41:D42)),2)</f>
        <v>1595.77</v>
      </c>
      <c r="F43" s="165"/>
      <c r="G43" s="165"/>
    </row>
    <row r="44" ht="15.75" spans="1:7">
      <c r="A44" s="152"/>
      <c r="C44" s="170"/>
      <c r="D44" s="160"/>
      <c r="F44" s="165"/>
      <c r="G44" s="165"/>
    </row>
    <row r="45" spans="1:4">
      <c r="A45" s="163" t="s">
        <v>77</v>
      </c>
      <c r="B45" s="151"/>
      <c r="C45" s="151"/>
      <c r="D45" s="151"/>
    </row>
    <row r="46" spans="1:4">
      <c r="A46" s="152" t="s">
        <v>78</v>
      </c>
      <c r="B46" s="158" t="s">
        <v>79</v>
      </c>
      <c r="C46" s="153" t="s">
        <v>38</v>
      </c>
      <c r="D46" s="153" t="s">
        <v>80</v>
      </c>
    </row>
    <row r="47" spans="1:4">
      <c r="A47" s="152" t="s">
        <v>42</v>
      </c>
      <c r="B47" t="s">
        <v>81</v>
      </c>
      <c r="C47" s="164">
        <v>0.2</v>
      </c>
      <c r="D47" s="160">
        <f t="shared" ref="D47:D54" si="0">TRUNC(($D$43*C47),2)</f>
        <v>319.15</v>
      </c>
    </row>
    <row r="48" spans="1:4">
      <c r="A48" s="152" t="s">
        <v>45</v>
      </c>
      <c r="B48" t="s">
        <v>82</v>
      </c>
      <c r="C48" s="164">
        <v>0.025</v>
      </c>
      <c r="D48" s="160">
        <f t="shared" si="0"/>
        <v>39.89</v>
      </c>
    </row>
    <row r="49" spans="1:4">
      <c r="A49" s="152" t="s">
        <v>48</v>
      </c>
      <c r="B49" t="s">
        <v>205</v>
      </c>
      <c r="C49" s="171">
        <v>0.06</v>
      </c>
      <c r="D49" s="155">
        <f t="shared" si="0"/>
        <v>95.74</v>
      </c>
    </row>
    <row r="50" spans="1:4">
      <c r="A50" s="152" t="s">
        <v>50</v>
      </c>
      <c r="B50" t="s">
        <v>84</v>
      </c>
      <c r="C50" s="164">
        <v>0.015</v>
      </c>
      <c r="D50" s="160">
        <f t="shared" si="0"/>
        <v>23.93</v>
      </c>
    </row>
    <row r="51" spans="1:4">
      <c r="A51" s="152" t="s">
        <v>53</v>
      </c>
      <c r="B51" t="s">
        <v>85</v>
      </c>
      <c r="C51" s="164">
        <v>0.01</v>
      </c>
      <c r="D51" s="160">
        <f t="shared" si="0"/>
        <v>15.95</v>
      </c>
    </row>
    <row r="52" spans="1:4">
      <c r="A52" s="152" t="s">
        <v>55</v>
      </c>
      <c r="B52" t="s">
        <v>86</v>
      </c>
      <c r="C52" s="164">
        <v>0.006</v>
      </c>
      <c r="D52" s="160">
        <f t="shared" si="0"/>
        <v>9.57</v>
      </c>
    </row>
    <row r="53" spans="1:4">
      <c r="A53" s="152" t="s">
        <v>87</v>
      </c>
      <c r="B53" t="s">
        <v>88</v>
      </c>
      <c r="C53" s="164">
        <v>0.002</v>
      </c>
      <c r="D53" s="160">
        <f t="shared" si="0"/>
        <v>3.19</v>
      </c>
    </row>
    <row r="54" spans="1:4">
      <c r="A54" s="152" t="s">
        <v>89</v>
      </c>
      <c r="B54" t="s">
        <v>90</v>
      </c>
      <c r="C54" s="164">
        <v>0.08</v>
      </c>
      <c r="D54" s="160">
        <f t="shared" si="0"/>
        <v>127.66</v>
      </c>
    </row>
    <row r="55" spans="1:4">
      <c r="A55" s="152" t="s">
        <v>58</v>
      </c>
      <c r="C55" s="170">
        <f>SUM(C47:C54)</f>
        <v>0.398</v>
      </c>
      <c r="D55" s="160">
        <f>TRUNC((SUM(D47:D54)),2)</f>
        <v>635.08</v>
      </c>
    </row>
    <row r="56" spans="1:4">
      <c r="A56" s="152"/>
      <c r="C56" s="170"/>
      <c r="D56" s="160"/>
    </row>
    <row r="57" spans="1:4">
      <c r="A57" s="163" t="s">
        <v>95</v>
      </c>
      <c r="B57" s="151"/>
      <c r="C57" s="151"/>
      <c r="D57" s="151"/>
    </row>
    <row r="58" spans="1:4">
      <c r="A58" s="152" t="s">
        <v>96</v>
      </c>
      <c r="B58" s="158" t="s">
        <v>97</v>
      </c>
      <c r="C58" s="153" t="s">
        <v>18</v>
      </c>
      <c r="D58" s="153" t="s">
        <v>19</v>
      </c>
    </row>
    <row r="59" spans="1:4">
      <c r="A59" s="152" t="s">
        <v>42</v>
      </c>
      <c r="B59" t="s">
        <v>98</v>
      </c>
      <c r="C59" s="154"/>
      <c r="D59" s="172">
        <f>TRUNC(((22*4.7)*2)-((D25/100)*6),2)</f>
        <v>126.64</v>
      </c>
    </row>
    <row r="60" spans="1:4">
      <c r="A60" s="152" t="s">
        <v>45</v>
      </c>
      <c r="B60" t="s">
        <v>99</v>
      </c>
      <c r="C60" s="154" t="str">
        <f>C9</f>
        <v>CCT PB000071/2023</v>
      </c>
      <c r="D60" s="155">
        <f>TRUNC((((500))-(((500))*0.2)),2)</f>
        <v>400</v>
      </c>
    </row>
    <row r="61" spans="1:4">
      <c r="A61" s="152" t="s">
        <v>48</v>
      </c>
      <c r="B61" t="s">
        <v>100</v>
      </c>
      <c r="C61" s="154"/>
      <c r="D61" s="155">
        <v>0</v>
      </c>
    </row>
    <row r="62" spans="1:6">
      <c r="A62" s="152" t="s">
        <v>50</v>
      </c>
      <c r="B62" s="173" t="s">
        <v>206</v>
      </c>
      <c r="C62" s="174"/>
      <c r="D62" s="174">
        <v>0</v>
      </c>
      <c r="F62" s="173"/>
    </row>
    <row r="63" spans="1:4">
      <c r="A63" s="152" t="s">
        <v>53</v>
      </c>
      <c r="B63" s="158" t="s">
        <v>207</v>
      </c>
      <c r="C63" s="154" t="str">
        <f>C60</f>
        <v>CCT PB000071/2023</v>
      </c>
      <c r="D63" s="155">
        <v>20</v>
      </c>
    </row>
    <row r="64" spans="1:4">
      <c r="A64" s="152" t="s">
        <v>55</v>
      </c>
      <c r="B64" s="175" t="s">
        <v>208</v>
      </c>
      <c r="C64" s="154" t="str">
        <f>C9</f>
        <v>CCT PB000071/2023</v>
      </c>
      <c r="D64" s="155">
        <v>5</v>
      </c>
    </row>
    <row r="65" spans="1:4">
      <c r="A65" s="152" t="s">
        <v>87</v>
      </c>
      <c r="B65" s="175" t="s">
        <v>209</v>
      </c>
      <c r="C65" s="174" t="str">
        <f>C60</f>
        <v>CCT PB000071/2023</v>
      </c>
      <c r="D65" s="155">
        <v>40</v>
      </c>
    </row>
    <row r="66" spans="1:4">
      <c r="A66" s="152" t="s">
        <v>58</v>
      </c>
      <c r="D66" s="160">
        <f>TRUNC((SUM(D59:D65)),2)</f>
        <v>591.64</v>
      </c>
    </row>
    <row r="67" spans="1:4">
      <c r="A67" s="152"/>
      <c r="D67" s="160"/>
    </row>
    <row r="68" spans="1:4">
      <c r="A68" s="163" t="s">
        <v>105</v>
      </c>
      <c r="B68" s="151"/>
      <c r="C68" s="151"/>
      <c r="D68" s="151"/>
    </row>
    <row r="69" spans="1:4">
      <c r="A69" s="152" t="s">
        <v>106</v>
      </c>
      <c r="B69" s="158" t="s">
        <v>107</v>
      </c>
      <c r="C69" s="153" t="s">
        <v>18</v>
      </c>
      <c r="D69" s="153" t="s">
        <v>19</v>
      </c>
    </row>
    <row r="70" spans="1:4">
      <c r="A70" s="152" t="s">
        <v>65</v>
      </c>
      <c r="B70" t="s">
        <v>66</v>
      </c>
      <c r="C70" s="153"/>
      <c r="D70" s="160">
        <f>D39</f>
        <v>259.77</v>
      </c>
    </row>
    <row r="71" spans="1:4">
      <c r="A71" s="152" t="s">
        <v>78</v>
      </c>
      <c r="B71" t="s">
        <v>79</v>
      </c>
      <c r="C71" s="153"/>
      <c r="D71" s="160">
        <f>D55</f>
        <v>635.08</v>
      </c>
    </row>
    <row r="72" spans="1:4">
      <c r="A72" s="152" t="s">
        <v>96</v>
      </c>
      <c r="B72" t="s">
        <v>97</v>
      </c>
      <c r="C72" s="153"/>
      <c r="D72" s="160">
        <f>D66</f>
        <v>591.64</v>
      </c>
    </row>
    <row r="73" spans="1:4">
      <c r="A73" s="152" t="s">
        <v>58</v>
      </c>
      <c r="C73" s="153"/>
      <c r="D73" s="160">
        <f>TRUNC((SUM(D70:D72)),2)</f>
        <v>1486.49</v>
      </c>
    </row>
    <row r="75" spans="1:4">
      <c r="A75" s="130" t="s">
        <v>108</v>
      </c>
      <c r="B75" s="131"/>
      <c r="C75" s="131"/>
      <c r="D75" s="131"/>
    </row>
    <row r="76" spans="1:4">
      <c r="A76" s="152" t="s">
        <v>109</v>
      </c>
      <c r="B76" s="158" t="s">
        <v>110</v>
      </c>
      <c r="C76" s="153" t="s">
        <v>38</v>
      </c>
      <c r="D76" s="153" t="s">
        <v>19</v>
      </c>
    </row>
    <row r="77" spans="1:4">
      <c r="A77" s="152" t="s">
        <v>42</v>
      </c>
      <c r="B77" t="s">
        <v>111</v>
      </c>
      <c r="C77" s="171">
        <f>((1/12)*2%)</f>
        <v>0.00166666666666667</v>
      </c>
      <c r="D77" s="155">
        <f t="shared" ref="D77:D80" si="1">TRUNC(($D$31*C77),2)</f>
        <v>2.22</v>
      </c>
    </row>
    <row r="78" spans="1:4">
      <c r="A78" s="152" t="s">
        <v>45</v>
      </c>
      <c r="B78" t="s">
        <v>112</v>
      </c>
      <c r="C78" s="176">
        <v>0.08</v>
      </c>
      <c r="D78" s="160">
        <f>TRUNC(($D$77*C78),2)</f>
        <v>0.17</v>
      </c>
    </row>
    <row r="79" ht="30" spans="1:4">
      <c r="A79" s="152" t="s">
        <v>48</v>
      </c>
      <c r="B79" s="177" t="s">
        <v>113</v>
      </c>
      <c r="C79" s="178">
        <f>(0.08*0.4*0.02)</f>
        <v>0.00064</v>
      </c>
      <c r="D79" s="174">
        <f t="shared" si="1"/>
        <v>0.85</v>
      </c>
    </row>
    <row r="80" spans="1:4">
      <c r="A80" s="152" t="s">
        <v>50</v>
      </c>
      <c r="B80" t="s">
        <v>114</v>
      </c>
      <c r="C80" s="176">
        <f>(((7/30)/12)*0.98)</f>
        <v>0.0190555555555556</v>
      </c>
      <c r="D80" s="160">
        <f t="shared" si="1"/>
        <v>25.45</v>
      </c>
    </row>
    <row r="81" ht="30" spans="1:4">
      <c r="A81" s="152" t="s">
        <v>53</v>
      </c>
      <c r="B81" s="177" t="s">
        <v>210</v>
      </c>
      <c r="C81" s="178">
        <f>C55</f>
        <v>0.398</v>
      </c>
      <c r="D81" s="174">
        <f>TRUNC(($D$80*C81),2)</f>
        <v>10.12</v>
      </c>
    </row>
    <row r="82" ht="30" spans="1:4">
      <c r="A82" s="152" t="s">
        <v>55</v>
      </c>
      <c r="B82" s="177" t="s">
        <v>115</v>
      </c>
      <c r="C82" s="178">
        <f>(0.08*0.4*0.98)</f>
        <v>0.03136</v>
      </c>
      <c r="D82" s="174">
        <f>TRUNC(($D$31*C82),2)</f>
        <v>41.89</v>
      </c>
    </row>
    <row r="83" spans="1:4">
      <c r="A83" s="152" t="s">
        <v>58</v>
      </c>
      <c r="C83" s="176">
        <f>SUM(C77:C82)</f>
        <v>0.530722222222222</v>
      </c>
      <c r="D83" s="160">
        <f>TRUNC((SUM(D77:D82)),2)</f>
        <v>80.7</v>
      </c>
    </row>
    <row r="84" ht="15.75" spans="1:4">
      <c r="A84" s="152"/>
      <c r="D84" s="160"/>
    </row>
    <row r="85" ht="16.5" spans="1:4">
      <c r="A85" s="161" t="s">
        <v>211</v>
      </c>
      <c r="B85" s="161"/>
      <c r="C85" s="166" t="s">
        <v>202</v>
      </c>
      <c r="D85" s="167">
        <f>D31</f>
        <v>1336</v>
      </c>
    </row>
    <row r="86" ht="16.5" spans="1:4">
      <c r="A86" s="161"/>
      <c r="B86" s="161"/>
      <c r="C86" s="168" t="s">
        <v>212</v>
      </c>
      <c r="D86" s="167">
        <f>D73</f>
        <v>1486.49</v>
      </c>
    </row>
    <row r="87" ht="16.5" spans="1:4">
      <c r="A87" s="161"/>
      <c r="B87" s="161"/>
      <c r="C87" s="166" t="s">
        <v>213</v>
      </c>
      <c r="D87" s="167">
        <f>D83</f>
        <v>80.7</v>
      </c>
    </row>
    <row r="88" ht="16.5" spans="1:4">
      <c r="A88" s="161"/>
      <c r="B88" s="161"/>
      <c r="C88" s="168" t="s">
        <v>204</v>
      </c>
      <c r="D88" s="169">
        <f>TRUNC((SUM(D85:D87)),2)</f>
        <v>2903.19</v>
      </c>
    </row>
    <row r="89" ht="15.75" spans="1:4">
      <c r="A89" s="152"/>
      <c r="D89" s="160"/>
    </row>
    <row r="90" spans="1:4">
      <c r="A90" s="179" t="s">
        <v>127</v>
      </c>
      <c r="B90" s="180"/>
      <c r="C90" s="180"/>
      <c r="D90" s="180"/>
    </row>
    <row r="91" spans="1:4">
      <c r="A91" s="163" t="s">
        <v>128</v>
      </c>
      <c r="B91" s="151"/>
      <c r="C91" s="151"/>
      <c r="D91" s="151"/>
    </row>
    <row r="92" spans="1:4">
      <c r="A92" s="152" t="s">
        <v>129</v>
      </c>
      <c r="B92" s="158" t="s">
        <v>130</v>
      </c>
      <c r="C92" s="153" t="s">
        <v>38</v>
      </c>
      <c r="D92" s="153" t="s">
        <v>19</v>
      </c>
    </row>
    <row r="93" spans="1:4">
      <c r="A93" s="152" t="s">
        <v>42</v>
      </c>
      <c r="B93" t="s">
        <v>132</v>
      </c>
      <c r="C93" s="176">
        <f>(((1+1/3)/12)/12)+((1/12)/12)</f>
        <v>0.0162037037037037</v>
      </c>
      <c r="D93" s="160">
        <f t="shared" ref="D93:D97" si="2">TRUNC(($D$88*C93),2)</f>
        <v>47.04</v>
      </c>
    </row>
    <row r="94" spans="1:4">
      <c r="A94" s="152" t="s">
        <v>45</v>
      </c>
      <c r="B94" t="s">
        <v>133</v>
      </c>
      <c r="C94" s="171">
        <f>((5/30)/12)</f>
        <v>0.0138888888888889</v>
      </c>
      <c r="D94" s="174">
        <f t="shared" si="2"/>
        <v>40.32</v>
      </c>
    </row>
    <row r="95" spans="1:4">
      <c r="A95" s="152" t="s">
        <v>48</v>
      </c>
      <c r="B95" t="s">
        <v>134</v>
      </c>
      <c r="C95" s="171">
        <f>((5/30)/12)*0.02</f>
        <v>0.000277777777777778</v>
      </c>
      <c r="D95" s="174">
        <f t="shared" si="2"/>
        <v>0.8</v>
      </c>
    </row>
    <row r="96" ht="30" spans="1:4">
      <c r="A96" s="152" t="s">
        <v>50</v>
      </c>
      <c r="B96" s="177" t="s">
        <v>135</v>
      </c>
      <c r="C96" s="178">
        <f>((15/30)/12)*0.08</f>
        <v>0.00333333333333333</v>
      </c>
      <c r="D96" s="174">
        <f t="shared" si="2"/>
        <v>9.67</v>
      </c>
    </row>
    <row r="97" spans="1:4">
      <c r="A97" s="152" t="s">
        <v>53</v>
      </c>
      <c r="B97" t="s">
        <v>136</v>
      </c>
      <c r="C97" s="171">
        <f>((1+1/3)/12)*0.00001*((4/12))</f>
        <v>3.7037037037037e-7</v>
      </c>
      <c r="D97" s="174">
        <f t="shared" si="2"/>
        <v>0</v>
      </c>
    </row>
    <row r="98" ht="30" spans="1:4">
      <c r="A98" s="152" t="s">
        <v>55</v>
      </c>
      <c r="B98" s="177" t="s">
        <v>214</v>
      </c>
      <c r="C98" s="181">
        <v>0</v>
      </c>
      <c r="D98" s="174">
        <f>TRUNC($D$88*C98)</f>
        <v>0</v>
      </c>
    </row>
    <row r="99" spans="1:4">
      <c r="A99" s="152" t="s">
        <v>58</v>
      </c>
      <c r="C99" s="176">
        <f>SUBTOTAL(109,Submódulo4.159[Percentual])</f>
        <v>0.0337040740740741</v>
      </c>
      <c r="D99" s="160">
        <f>TRUNC((SUM(D93:D98)),2)</f>
        <v>97.83</v>
      </c>
    </row>
    <row r="100" spans="1:4">
      <c r="A100" s="152"/>
      <c r="C100" s="153"/>
      <c r="D100" s="160"/>
    </row>
    <row r="101" spans="1:4">
      <c r="A101" s="163" t="s">
        <v>144</v>
      </c>
      <c r="B101" s="151"/>
      <c r="C101" s="151"/>
      <c r="D101" s="151"/>
    </row>
    <row r="102" spans="1:4">
      <c r="A102" s="152" t="s">
        <v>145</v>
      </c>
      <c r="B102" s="158" t="s">
        <v>146</v>
      </c>
      <c r="C102" s="153" t="s">
        <v>18</v>
      </c>
      <c r="D102" s="153" t="s">
        <v>19</v>
      </c>
    </row>
    <row r="103" ht="90" spans="1:4">
      <c r="A103" s="152" t="s">
        <v>42</v>
      </c>
      <c r="B103" s="182" t="s">
        <v>147</v>
      </c>
      <c r="C103" s="183" t="s">
        <v>215</v>
      </c>
      <c r="D103" s="184" t="s">
        <v>216</v>
      </c>
    </row>
    <row r="104" spans="1:4">
      <c r="A104" s="152" t="s">
        <v>58</v>
      </c>
      <c r="C104" s="185"/>
      <c r="D104" s="186" t="str">
        <f>D103</f>
        <v>*=TRUNCAR(($D$86/220)*(1*(365/12))/2)</v>
      </c>
    </row>
    <row r="106" spans="1:4">
      <c r="A106" s="163" t="s">
        <v>148</v>
      </c>
      <c r="B106" s="151"/>
      <c r="C106" s="151"/>
      <c r="D106" s="151"/>
    </row>
    <row r="107" spans="1:4">
      <c r="A107" s="152" t="s">
        <v>149</v>
      </c>
      <c r="B107" s="158" t="s">
        <v>150</v>
      </c>
      <c r="C107" s="153" t="s">
        <v>18</v>
      </c>
      <c r="D107" s="153" t="s">
        <v>19</v>
      </c>
    </row>
    <row r="108" spans="1:4">
      <c r="A108" s="152" t="s">
        <v>129</v>
      </c>
      <c r="B108" t="s">
        <v>130</v>
      </c>
      <c r="D108" s="155">
        <f>D99</f>
        <v>97.83</v>
      </c>
    </row>
    <row r="109" spans="1:4">
      <c r="A109" s="152" t="s">
        <v>145</v>
      </c>
      <c r="B109" t="s">
        <v>151</v>
      </c>
      <c r="C109" s="158"/>
      <c r="D109" s="187" t="str">
        <f>Submódulo4.260[[#Totals],[Valor]]</f>
        <v>*=TRUNCAR(($D$86/220)*(1*(365/12))/2)</v>
      </c>
    </row>
    <row r="110" ht="45" spans="1:4">
      <c r="A110" s="152" t="s">
        <v>58</v>
      </c>
      <c r="B110" s="173"/>
      <c r="C110" s="183" t="s">
        <v>217</v>
      </c>
      <c r="D110" s="188">
        <f>TRUNC((SUM(D108:D109)),2)</f>
        <v>97.83</v>
      </c>
    </row>
    <row r="112" spans="1:4">
      <c r="A112" s="130" t="s">
        <v>152</v>
      </c>
      <c r="B112" s="131"/>
      <c r="C112" s="131"/>
      <c r="D112" s="131"/>
    </row>
    <row r="113" spans="1:4">
      <c r="A113" s="152" t="s">
        <v>153</v>
      </c>
      <c r="B113" s="158" t="s">
        <v>154</v>
      </c>
      <c r="C113" s="153" t="s">
        <v>18</v>
      </c>
      <c r="D113" s="153" t="s">
        <v>19</v>
      </c>
    </row>
    <row r="114" spans="1:4">
      <c r="A114" s="152" t="s">
        <v>42</v>
      </c>
      <c r="B114" t="s">
        <v>218</v>
      </c>
      <c r="D114" s="189">
        <f>'Uniformes e EPI'!G146</f>
        <v>98.06</v>
      </c>
    </row>
    <row r="115" spans="1:4">
      <c r="A115" s="152" t="s">
        <v>45</v>
      </c>
      <c r="B115" t="s">
        <v>219</v>
      </c>
      <c r="D115" s="189">
        <f>EPC!E21</f>
        <v>12.16</v>
      </c>
    </row>
    <row r="116" spans="1:4">
      <c r="A116" s="152" t="s">
        <v>48</v>
      </c>
      <c r="B116" t="s">
        <v>156</v>
      </c>
      <c r="D116" s="189">
        <f>'Equipamentos e Materiais'!E113</f>
        <v>161.05</v>
      </c>
    </row>
    <row r="117" spans="1:4">
      <c r="A117" s="152" t="s">
        <v>50</v>
      </c>
      <c r="B117" t="s">
        <v>157</v>
      </c>
      <c r="D117" s="189">
        <f>'Equipamentos e Materiais'!F144</f>
        <v>29.49</v>
      </c>
    </row>
    <row r="118" spans="1:4">
      <c r="A118" s="152" t="s">
        <v>53</v>
      </c>
      <c r="B118" t="s">
        <v>220</v>
      </c>
      <c r="D118" s="189">
        <f>H117</f>
        <v>0</v>
      </c>
    </row>
    <row r="119" spans="1:4">
      <c r="A119" s="152" t="s">
        <v>58</v>
      </c>
      <c r="D119" s="190">
        <f>TRUNC(SUM(D114:D118),2)</f>
        <v>300.76</v>
      </c>
    </row>
    <row r="120" ht="15.75"/>
    <row r="121" ht="16.5" spans="1:4">
      <c r="A121" s="161" t="s">
        <v>221</v>
      </c>
      <c r="B121" s="161"/>
      <c r="C121" s="166" t="s">
        <v>202</v>
      </c>
      <c r="D121" s="167">
        <f>D31</f>
        <v>1336</v>
      </c>
    </row>
    <row r="122" ht="16.5" spans="1:4">
      <c r="A122" s="161"/>
      <c r="B122" s="161"/>
      <c r="C122" s="168" t="s">
        <v>212</v>
      </c>
      <c r="D122" s="167">
        <f>D73</f>
        <v>1486.49</v>
      </c>
    </row>
    <row r="123" ht="16.5" spans="1:4">
      <c r="A123" s="161"/>
      <c r="B123" s="161"/>
      <c r="C123" s="166" t="s">
        <v>213</v>
      </c>
      <c r="D123" s="167">
        <f>D83</f>
        <v>80.7</v>
      </c>
    </row>
    <row r="124" ht="16.5" spans="1:4">
      <c r="A124" s="161"/>
      <c r="B124" s="161"/>
      <c r="C124" s="168" t="s">
        <v>222</v>
      </c>
      <c r="D124" s="167">
        <f>D110</f>
        <v>97.83</v>
      </c>
    </row>
    <row r="125" ht="16.5" spans="1:4">
      <c r="A125" s="161"/>
      <c r="B125" s="161"/>
      <c r="C125" s="166" t="s">
        <v>223</v>
      </c>
      <c r="D125" s="167">
        <f>D119</f>
        <v>300.76</v>
      </c>
    </row>
    <row r="126" ht="16.5" spans="1:4">
      <c r="A126" s="161"/>
      <c r="B126" s="161"/>
      <c r="C126" s="168" t="s">
        <v>204</v>
      </c>
      <c r="D126" s="169">
        <f>TRUNC((SUM(D121:D125)),2)</f>
        <v>3301.78</v>
      </c>
    </row>
    <row r="127" ht="15.75"/>
    <row r="128" spans="1:4">
      <c r="A128" s="130" t="s">
        <v>164</v>
      </c>
      <c r="B128" s="131"/>
      <c r="C128" s="131"/>
      <c r="D128" s="131"/>
    </row>
    <row r="129" ht="15.75" spans="1:7">
      <c r="A129" s="152" t="s">
        <v>165</v>
      </c>
      <c r="B129" t="s">
        <v>166</v>
      </c>
      <c r="C129" s="153" t="s">
        <v>38</v>
      </c>
      <c r="D129" s="153" t="s">
        <v>19</v>
      </c>
      <c r="F129" s="191" t="s">
        <v>224</v>
      </c>
      <c r="G129" s="191"/>
    </row>
    <row r="130" ht="15.75" spans="1:7">
      <c r="A130" s="152" t="s">
        <v>42</v>
      </c>
      <c r="B130" t="s">
        <v>167</v>
      </c>
      <c r="C130" s="192">
        <v>0.05</v>
      </c>
      <c r="D130" s="155">
        <f>TRUNC(($D$126*C130),2)</f>
        <v>165.08</v>
      </c>
      <c r="F130" s="193" t="s">
        <v>225</v>
      </c>
      <c r="G130" s="178">
        <f>C132</f>
        <v>0.0865</v>
      </c>
    </row>
    <row r="131" ht="15.75" spans="1:7">
      <c r="A131" s="152" t="s">
        <v>45</v>
      </c>
      <c r="B131" t="s">
        <v>59</v>
      </c>
      <c r="C131" s="192">
        <v>0.0462</v>
      </c>
      <c r="D131" s="155">
        <f>TRUNC((C131*(D126+D130)),2)</f>
        <v>160.16</v>
      </c>
      <c r="F131" s="194" t="s">
        <v>226</v>
      </c>
      <c r="G131" s="195">
        <f>TRUNC(SUM(D126,D130,D131),2)</f>
        <v>3627.02</v>
      </c>
    </row>
    <row r="132" ht="15.75" spans="1:7">
      <c r="A132" s="152" t="s">
        <v>48</v>
      </c>
      <c r="B132" t="s">
        <v>168</v>
      </c>
      <c r="C132" s="171">
        <f>SUM(C133:C135)</f>
        <v>0.0865</v>
      </c>
      <c r="D132" s="155">
        <f>TRUNC((SUM(D133:D135)),2)</f>
        <v>343.43</v>
      </c>
      <c r="F132" s="193" t="s">
        <v>227</v>
      </c>
      <c r="G132" s="196">
        <f>(100-8.65)/100</f>
        <v>0.9135</v>
      </c>
    </row>
    <row r="133" ht="15.75" spans="1:7">
      <c r="A133" s="152"/>
      <c r="B133" t="s">
        <v>228</v>
      </c>
      <c r="C133" s="171">
        <v>0.0065</v>
      </c>
      <c r="D133" s="155">
        <f t="shared" ref="D133:D135" si="3">TRUNC(($G$133*C133),2)</f>
        <v>25.8</v>
      </c>
      <c r="F133" s="194" t="s">
        <v>224</v>
      </c>
      <c r="G133" s="195">
        <f>TRUNC((G131/G132),2)</f>
        <v>3970.46</v>
      </c>
    </row>
    <row r="134" ht="15.75" spans="1:4">
      <c r="A134" s="152"/>
      <c r="B134" t="s">
        <v>229</v>
      </c>
      <c r="C134" s="171">
        <v>0.03</v>
      </c>
      <c r="D134" s="155">
        <f t="shared" si="3"/>
        <v>119.11</v>
      </c>
    </row>
    <row r="135" spans="1:4">
      <c r="A135" s="152"/>
      <c r="B135" t="s">
        <v>230</v>
      </c>
      <c r="C135" s="171">
        <v>0.05</v>
      </c>
      <c r="D135" s="155">
        <f t="shared" si="3"/>
        <v>198.52</v>
      </c>
    </row>
    <row r="136" spans="1:4">
      <c r="A136" s="152" t="s">
        <v>58</v>
      </c>
      <c r="C136" s="197"/>
      <c r="D136" s="160">
        <f>TRUNC(SUM(D130:D132),2)</f>
        <v>668.67</v>
      </c>
    </row>
    <row r="137" spans="1:4">
      <c r="A137" s="152"/>
      <c r="C137" s="197"/>
      <c r="D137" s="160"/>
    </row>
    <row r="139" spans="1:4">
      <c r="A139" s="130" t="s">
        <v>172</v>
      </c>
      <c r="B139" s="131"/>
      <c r="C139" s="131"/>
      <c r="D139" s="131"/>
    </row>
    <row r="140" spans="1:4">
      <c r="A140" s="152" t="s">
        <v>16</v>
      </c>
      <c r="B140" s="153" t="s">
        <v>173</v>
      </c>
      <c r="C140" s="153" t="s">
        <v>102</v>
      </c>
      <c r="D140" s="153" t="s">
        <v>19</v>
      </c>
    </row>
    <row r="141" spans="1:4">
      <c r="A141" s="152" t="s">
        <v>42</v>
      </c>
      <c r="B141" t="s">
        <v>36</v>
      </c>
      <c r="D141" s="160">
        <f>D31</f>
        <v>1336</v>
      </c>
    </row>
    <row r="142" spans="1:4">
      <c r="A142" s="152" t="s">
        <v>45</v>
      </c>
      <c r="B142" t="s">
        <v>61</v>
      </c>
      <c r="D142" s="160">
        <f>D73</f>
        <v>1486.49</v>
      </c>
    </row>
    <row r="143" spans="1:4">
      <c r="A143" s="152" t="s">
        <v>48</v>
      </c>
      <c r="B143" t="s">
        <v>108</v>
      </c>
      <c r="D143" s="160">
        <f>D83</f>
        <v>80.7</v>
      </c>
    </row>
    <row r="144" spans="1:4">
      <c r="A144" s="152" t="s">
        <v>50</v>
      </c>
      <c r="B144" t="s">
        <v>174</v>
      </c>
      <c r="D144" s="160">
        <f>D110</f>
        <v>97.83</v>
      </c>
    </row>
    <row r="145" spans="1:4">
      <c r="A145" s="152" t="s">
        <v>53</v>
      </c>
      <c r="B145" t="s">
        <v>152</v>
      </c>
      <c r="D145" s="160">
        <f>D119</f>
        <v>300.76</v>
      </c>
    </row>
    <row r="146" spans="2:4">
      <c r="B146" s="198" t="s">
        <v>231</v>
      </c>
      <c r="D146" s="160">
        <f>TRUNC(SUM(D141:D145),2)</f>
        <v>3301.78</v>
      </c>
    </row>
    <row r="147" spans="1:4">
      <c r="A147" s="152" t="s">
        <v>55</v>
      </c>
      <c r="B147" t="s">
        <v>164</v>
      </c>
      <c r="D147" s="160">
        <f>D136</f>
        <v>668.67</v>
      </c>
    </row>
    <row r="148" spans="1:4">
      <c r="A148" s="199"/>
      <c r="B148" s="200" t="s">
        <v>232</v>
      </c>
      <c r="C148" s="201"/>
      <c r="D148" s="202">
        <f>TRUNC((SUM(D141:D145)+D147),2)</f>
        <v>3970.45</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A128:D128"/>
    <mergeCell ref="F129:G129"/>
    <mergeCell ref="A139:D139"/>
    <mergeCell ref="A41:B43"/>
    <mergeCell ref="A85:B88"/>
    <mergeCell ref="A121:B126"/>
  </mergeCells>
  <pageMargins left="0.75" right="0.75" top="1" bottom="1" header="0.5" footer="0.5"/>
  <pageSetup paperSize="9" scale="90"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topLeftCell="A118" workbookViewId="0">
      <selection activeCell="F15" sqref="F15:G15"/>
    </sheetView>
  </sheetViews>
  <sheetFormatPr defaultColWidth="9.14285714285714" defaultRowHeight="15" outlineLevelCol="6"/>
  <cols>
    <col min="1" max="1" width="10.5714285714286" style="106" customWidth="1"/>
    <col min="2" max="2" width="54.2857142857143" customWidth="1"/>
    <col min="3" max="3" width="23.8095238095238" customWidth="1"/>
    <col min="4" max="4" width="41" customWidth="1"/>
    <col min="6" max="6" width="22.8571428571429" customWidth="1"/>
    <col min="7" max="7" width="13.3333333333333" customWidth="1"/>
    <col min="8" max="8" width="12" customWidth="1"/>
    <col min="9" max="9" width="12.2857142857143" customWidth="1"/>
  </cols>
  <sheetData>
    <row r="2" ht="19.5" spans="1:4">
      <c r="A2" s="121" t="s">
        <v>177</v>
      </c>
      <c r="B2" s="122"/>
      <c r="C2" s="122"/>
      <c r="D2" s="122"/>
    </row>
    <row r="3" ht="15.75" spans="1:4">
      <c r="A3" s="123" t="s">
        <v>248</v>
      </c>
      <c r="B3" s="124"/>
      <c r="C3" s="124"/>
      <c r="D3" s="124"/>
    </row>
    <row r="4" spans="1:4">
      <c r="A4" s="125" t="s">
        <v>179</v>
      </c>
      <c r="B4" s="126" t="s">
        <v>180</v>
      </c>
      <c r="C4" s="127"/>
      <c r="D4" s="127"/>
    </row>
    <row r="5" spans="1:4">
      <c r="A5" s="128"/>
      <c r="B5" s="129"/>
      <c r="C5" s="129"/>
      <c r="D5" s="129"/>
    </row>
    <row r="6" ht="15.75" spans="1:4">
      <c r="A6" s="130" t="s">
        <v>181</v>
      </c>
      <c r="B6" s="131"/>
      <c r="C6" s="131"/>
      <c r="D6" s="131"/>
    </row>
    <row r="7" ht="15.75" spans="1:4">
      <c r="A7" s="132" t="s">
        <v>42</v>
      </c>
      <c r="B7" s="133" t="s">
        <v>182</v>
      </c>
      <c r="C7" s="134" t="s">
        <v>183</v>
      </c>
      <c r="D7" s="134"/>
    </row>
    <row r="8" spans="1:4">
      <c r="A8" s="135" t="s">
        <v>45</v>
      </c>
      <c r="B8" s="136" t="s">
        <v>184</v>
      </c>
      <c r="C8" s="137" t="s">
        <v>185</v>
      </c>
      <c r="D8" s="137"/>
    </row>
    <row r="9" spans="1:4">
      <c r="A9" s="138" t="s">
        <v>48</v>
      </c>
      <c r="B9" s="139" t="s">
        <v>186</v>
      </c>
      <c r="C9" s="137" t="s">
        <v>187</v>
      </c>
      <c r="D9" s="137"/>
    </row>
    <row r="10" spans="1:4">
      <c r="A10" s="135" t="s">
        <v>53</v>
      </c>
      <c r="B10" s="136" t="s">
        <v>188</v>
      </c>
      <c r="C10" s="137" t="s">
        <v>189</v>
      </c>
      <c r="D10" s="137"/>
    </row>
    <row r="11" ht="15.75" spans="1:4">
      <c r="A11" s="140" t="s">
        <v>190</v>
      </c>
      <c r="B11" s="141"/>
      <c r="C11" s="141"/>
      <c r="D11" s="141"/>
    </row>
    <row r="12" ht="16.5" spans="1:4">
      <c r="A12" s="142" t="s">
        <v>191</v>
      </c>
      <c r="B12" s="143"/>
      <c r="C12" s="141" t="s">
        <v>192</v>
      </c>
      <c r="D12" s="144" t="s">
        <v>193</v>
      </c>
    </row>
    <row r="13" ht="15.75" spans="1:4">
      <c r="A13" s="145" t="s">
        <v>249</v>
      </c>
      <c r="B13" s="146"/>
      <c r="C13" s="137" t="s">
        <v>195</v>
      </c>
      <c r="D13" s="147">
        <v>2</v>
      </c>
    </row>
    <row r="14" spans="1:4">
      <c r="A14" s="148"/>
      <c r="B14" s="149"/>
      <c r="C14" s="137"/>
      <c r="D14" s="150"/>
    </row>
    <row r="15" ht="15.75" spans="1:7">
      <c r="A15" s="140" t="s">
        <v>14</v>
      </c>
      <c r="B15" s="141"/>
      <c r="C15" s="141"/>
      <c r="D15" s="141"/>
      <c r="F15" s="151"/>
      <c r="G15" s="151"/>
    </row>
    <row r="16" ht="15.75" spans="1:4">
      <c r="A16" s="152" t="s">
        <v>16</v>
      </c>
      <c r="B16" t="s">
        <v>17</v>
      </c>
      <c r="C16" s="153" t="s">
        <v>18</v>
      </c>
      <c r="D16" s="153" t="s">
        <v>19</v>
      </c>
    </row>
    <row r="17" spans="1:4">
      <c r="A17" s="152">
        <v>1</v>
      </c>
      <c r="B17" t="s">
        <v>20</v>
      </c>
      <c r="C17" s="154" t="s">
        <v>102</v>
      </c>
      <c r="D17" s="154" t="str">
        <f>A13</f>
        <v>Ajudante de Carga e Descarga de Mercadoria</v>
      </c>
    </row>
    <row r="18" spans="1:4">
      <c r="A18" s="152">
        <v>2</v>
      </c>
      <c r="B18" t="s">
        <v>23</v>
      </c>
      <c r="C18" s="154" t="s">
        <v>196</v>
      </c>
      <c r="D18" s="154" t="s">
        <v>250</v>
      </c>
    </row>
    <row r="19" spans="1:4">
      <c r="A19" s="152">
        <v>3</v>
      </c>
      <c r="B19" t="s">
        <v>26</v>
      </c>
      <c r="C19" s="154" t="str">
        <f>C9</f>
        <v>CCT PB000071/2023</v>
      </c>
      <c r="D19" s="155">
        <v>1321.91</v>
      </c>
    </row>
    <row r="20" spans="1:4">
      <c r="A20" s="152">
        <v>4</v>
      </c>
      <c r="B20" t="s">
        <v>29</v>
      </c>
      <c r="C20" s="154" t="str">
        <f>C9</f>
        <v>CCT PB000071/2023</v>
      </c>
      <c r="D20" s="156" t="s">
        <v>198</v>
      </c>
    </row>
    <row r="21" spans="1:4">
      <c r="A21" s="152">
        <v>5</v>
      </c>
      <c r="B21" t="s">
        <v>33</v>
      </c>
      <c r="C21" s="154" t="str">
        <f>C9</f>
        <v>CCT PB000071/2023</v>
      </c>
      <c r="D21" s="157" t="s">
        <v>199</v>
      </c>
    </row>
    <row r="22" spans="6:7">
      <c r="F22" s="151"/>
      <c r="G22" s="151"/>
    </row>
    <row r="23" spans="1:4">
      <c r="A23" s="130" t="s">
        <v>36</v>
      </c>
      <c r="B23" s="131"/>
      <c r="C23" s="131"/>
      <c r="D23" s="131"/>
    </row>
    <row r="24" spans="1:7">
      <c r="A24" s="152" t="s">
        <v>39</v>
      </c>
      <c r="B24" s="158" t="s">
        <v>40</v>
      </c>
      <c r="C24" s="153" t="s">
        <v>18</v>
      </c>
      <c r="D24" s="153" t="s">
        <v>19</v>
      </c>
      <c r="G24" s="159"/>
    </row>
    <row r="25" spans="1:7">
      <c r="A25" s="152" t="s">
        <v>42</v>
      </c>
      <c r="B25" t="s">
        <v>43</v>
      </c>
      <c r="C25" s="156" t="s">
        <v>251</v>
      </c>
      <c r="D25" s="155">
        <f>D19</f>
        <v>1321.91</v>
      </c>
      <c r="G25" s="159"/>
    </row>
    <row r="26" spans="1:7">
      <c r="A26" s="152" t="s">
        <v>45</v>
      </c>
      <c r="B26" t="s">
        <v>46</v>
      </c>
      <c r="C26" s="156"/>
      <c r="D26" s="155">
        <v>0</v>
      </c>
      <c r="G26" s="159"/>
    </row>
    <row r="27" spans="1:4">
      <c r="A27" s="152" t="s">
        <v>48</v>
      </c>
      <c r="B27" t="s">
        <v>49</v>
      </c>
      <c r="C27" s="156"/>
      <c r="D27" s="155">
        <v>0</v>
      </c>
    </row>
    <row r="28" spans="1:4">
      <c r="A28" s="152" t="s">
        <v>50</v>
      </c>
      <c r="B28" t="s">
        <v>51</v>
      </c>
      <c r="C28" s="156"/>
      <c r="D28" s="155">
        <v>0</v>
      </c>
    </row>
    <row r="29" spans="1:4">
      <c r="A29" s="152" t="s">
        <v>53</v>
      </c>
      <c r="B29" t="s">
        <v>54</v>
      </c>
      <c r="C29" s="156"/>
      <c r="D29" s="155">
        <v>0</v>
      </c>
    </row>
    <row r="30" spans="1:4">
      <c r="A30" s="152" t="s">
        <v>55</v>
      </c>
      <c r="B30" t="s">
        <v>56</v>
      </c>
      <c r="C30" s="156"/>
      <c r="D30" s="155">
        <v>0</v>
      </c>
    </row>
    <row r="31" spans="1:7">
      <c r="A31" s="152" t="s">
        <v>58</v>
      </c>
      <c r="C31" s="153"/>
      <c r="D31" s="160">
        <f>TRUNC((SUM(D25:D30)),2)</f>
        <v>1321.91</v>
      </c>
      <c r="F31" s="151"/>
      <c r="G31" s="151"/>
    </row>
    <row r="33" spans="1:7">
      <c r="A33" s="161" t="s">
        <v>61</v>
      </c>
      <c r="B33" s="162"/>
      <c r="C33" s="162"/>
      <c r="D33" s="162"/>
      <c r="G33" s="159"/>
    </row>
    <row r="35" spans="1:4">
      <c r="A35" s="163" t="s">
        <v>63</v>
      </c>
      <c r="B35" s="151"/>
      <c r="C35" s="151"/>
      <c r="D35" s="151"/>
    </row>
    <row r="36" spans="1:4">
      <c r="A36" s="152" t="s">
        <v>65</v>
      </c>
      <c r="B36" s="158" t="s">
        <v>66</v>
      </c>
      <c r="C36" s="153" t="s">
        <v>38</v>
      </c>
      <c r="D36" s="153" t="s">
        <v>19</v>
      </c>
    </row>
    <row r="37" spans="1:7">
      <c r="A37" s="152" t="s">
        <v>42</v>
      </c>
      <c r="B37" t="s">
        <v>67</v>
      </c>
      <c r="C37" s="164">
        <f>(1/12)</f>
        <v>0.0833333333333333</v>
      </c>
      <c r="D37" s="160">
        <f>TRUNC($D$31*C37,2)</f>
        <v>110.15</v>
      </c>
      <c r="F37" s="165"/>
      <c r="G37" s="165"/>
    </row>
    <row r="38" spans="1:7">
      <c r="A38" s="152" t="s">
        <v>45</v>
      </c>
      <c r="B38" t="s">
        <v>68</v>
      </c>
      <c r="C38" s="164">
        <f>(((1+1/3)/12))</f>
        <v>0.111111111111111</v>
      </c>
      <c r="D38" s="160">
        <f>TRUNC($D$31*C38,2)</f>
        <v>146.87</v>
      </c>
      <c r="F38" s="165"/>
      <c r="G38" s="165"/>
    </row>
    <row r="39" spans="1:7">
      <c r="A39" s="152" t="s">
        <v>58</v>
      </c>
      <c r="D39" s="160">
        <f>TRUNC((SUM(D37:D38)),2)</f>
        <v>257.02</v>
      </c>
      <c r="F39" s="165"/>
      <c r="G39" s="165"/>
    </row>
    <row r="40" ht="15.75" spans="4:7">
      <c r="D40" s="160"/>
      <c r="F40" s="165"/>
      <c r="G40" s="165"/>
    </row>
    <row r="41" ht="16.5" spans="1:7">
      <c r="A41" s="161" t="s">
        <v>201</v>
      </c>
      <c r="B41" s="161"/>
      <c r="C41" s="166" t="s">
        <v>202</v>
      </c>
      <c r="D41" s="167">
        <f>D31</f>
        <v>1321.91</v>
      </c>
      <c r="F41" s="165"/>
      <c r="G41" s="165"/>
    </row>
    <row r="42" ht="16.5" spans="1:7">
      <c r="A42" s="161"/>
      <c r="B42" s="161"/>
      <c r="C42" s="168" t="s">
        <v>203</v>
      </c>
      <c r="D42" s="167">
        <f>D39</f>
        <v>257.02</v>
      </c>
      <c r="F42" s="165"/>
      <c r="G42" s="165"/>
    </row>
    <row r="43" ht="16.5" spans="1:7">
      <c r="A43" s="161"/>
      <c r="B43" s="161"/>
      <c r="C43" s="166" t="s">
        <v>204</v>
      </c>
      <c r="D43" s="169">
        <f>TRUNC((SUM(D41:D42)),2)</f>
        <v>1578.93</v>
      </c>
      <c r="F43" s="165"/>
      <c r="G43" s="165"/>
    </row>
    <row r="44" ht="15.75" spans="1:7">
      <c r="A44" s="152"/>
      <c r="C44" s="170"/>
      <c r="D44" s="160"/>
      <c r="F44" s="165"/>
      <c r="G44" s="165"/>
    </row>
    <row r="45" spans="1:4">
      <c r="A45" s="163" t="s">
        <v>77</v>
      </c>
      <c r="B45" s="151"/>
      <c r="C45" s="151"/>
      <c r="D45" s="151"/>
    </row>
    <row r="46" spans="1:4">
      <c r="A46" s="152" t="s">
        <v>78</v>
      </c>
      <c r="B46" s="158" t="s">
        <v>79</v>
      </c>
      <c r="C46" s="153" t="s">
        <v>38</v>
      </c>
      <c r="D46" s="153" t="s">
        <v>80</v>
      </c>
    </row>
    <row r="47" spans="1:4">
      <c r="A47" s="152" t="s">
        <v>42</v>
      </c>
      <c r="B47" t="s">
        <v>81</v>
      </c>
      <c r="C47" s="164">
        <v>0.2</v>
      </c>
      <c r="D47" s="160">
        <f t="shared" ref="D47:D54" si="0">TRUNC(($D$43*C47),2)</f>
        <v>315.78</v>
      </c>
    </row>
    <row r="48" spans="1:4">
      <c r="A48" s="152" t="s">
        <v>45</v>
      </c>
      <c r="B48" t="s">
        <v>82</v>
      </c>
      <c r="C48" s="164">
        <v>0.025</v>
      </c>
      <c r="D48" s="160">
        <f t="shared" si="0"/>
        <v>39.47</v>
      </c>
    </row>
    <row r="49" spans="1:4">
      <c r="A49" s="152" t="s">
        <v>48</v>
      </c>
      <c r="B49" t="s">
        <v>205</v>
      </c>
      <c r="C49" s="171">
        <v>0.06</v>
      </c>
      <c r="D49" s="155">
        <f t="shared" si="0"/>
        <v>94.73</v>
      </c>
    </row>
    <row r="50" spans="1:4">
      <c r="A50" s="152" t="s">
        <v>50</v>
      </c>
      <c r="B50" t="s">
        <v>84</v>
      </c>
      <c r="C50" s="164">
        <v>0.015</v>
      </c>
      <c r="D50" s="160">
        <f t="shared" si="0"/>
        <v>23.68</v>
      </c>
    </row>
    <row r="51" spans="1:4">
      <c r="A51" s="152" t="s">
        <v>53</v>
      </c>
      <c r="B51" t="s">
        <v>85</v>
      </c>
      <c r="C51" s="164">
        <v>0.01</v>
      </c>
      <c r="D51" s="160">
        <f t="shared" si="0"/>
        <v>15.78</v>
      </c>
    </row>
    <row r="52" spans="1:4">
      <c r="A52" s="152" t="s">
        <v>55</v>
      </c>
      <c r="B52" t="s">
        <v>86</v>
      </c>
      <c r="C52" s="164">
        <v>0.006</v>
      </c>
      <c r="D52" s="160">
        <f t="shared" si="0"/>
        <v>9.47</v>
      </c>
    </row>
    <row r="53" spans="1:4">
      <c r="A53" s="152" t="s">
        <v>87</v>
      </c>
      <c r="B53" t="s">
        <v>88</v>
      </c>
      <c r="C53" s="164">
        <v>0.002</v>
      </c>
      <c r="D53" s="160">
        <f t="shared" si="0"/>
        <v>3.15</v>
      </c>
    </row>
    <row r="54" spans="1:4">
      <c r="A54" s="152" t="s">
        <v>89</v>
      </c>
      <c r="B54" t="s">
        <v>90</v>
      </c>
      <c r="C54" s="164">
        <v>0.08</v>
      </c>
      <c r="D54" s="160">
        <f t="shared" si="0"/>
        <v>126.31</v>
      </c>
    </row>
    <row r="55" spans="1:4">
      <c r="A55" s="152" t="s">
        <v>58</v>
      </c>
      <c r="C55" s="170">
        <f>SUM(C47:C54)</f>
        <v>0.398</v>
      </c>
      <c r="D55" s="160">
        <f>TRUNC((SUM(D47:D54)),2)</f>
        <v>628.37</v>
      </c>
    </row>
    <row r="56" spans="1:4">
      <c r="A56" s="152"/>
      <c r="C56" s="170"/>
      <c r="D56" s="160"/>
    </row>
    <row r="57" spans="1:4">
      <c r="A57" s="163" t="s">
        <v>95</v>
      </c>
      <c r="B57" s="151"/>
      <c r="C57" s="151"/>
      <c r="D57" s="151"/>
    </row>
    <row r="58" spans="1:4">
      <c r="A58" s="152" t="s">
        <v>96</v>
      </c>
      <c r="B58" s="158" t="s">
        <v>97</v>
      </c>
      <c r="C58" s="153" t="s">
        <v>18</v>
      </c>
      <c r="D58" s="153" t="s">
        <v>19</v>
      </c>
    </row>
    <row r="59" spans="1:4">
      <c r="A59" s="152" t="s">
        <v>42</v>
      </c>
      <c r="B59" t="s">
        <v>98</v>
      </c>
      <c r="C59" s="154"/>
      <c r="D59" s="172">
        <f>TRUNC(((22*4.7)*2)-((D25/100)*6),2)</f>
        <v>127.48</v>
      </c>
    </row>
    <row r="60" spans="1:4">
      <c r="A60" s="152" t="s">
        <v>45</v>
      </c>
      <c r="B60" t="s">
        <v>99</v>
      </c>
      <c r="C60" s="154" t="str">
        <f>C9</f>
        <v>CCT PB000071/2023</v>
      </c>
      <c r="D60" s="155">
        <f>TRUNC((((500))-(((500))*0.2)),2)</f>
        <v>400</v>
      </c>
    </row>
    <row r="61" spans="1:4">
      <c r="A61" s="152" t="s">
        <v>48</v>
      </c>
      <c r="B61" t="s">
        <v>100</v>
      </c>
      <c r="C61" s="154"/>
      <c r="D61" s="155">
        <v>0</v>
      </c>
    </row>
    <row r="62" spans="1:6">
      <c r="A62" s="152" t="s">
        <v>50</v>
      </c>
      <c r="B62" s="173" t="s">
        <v>206</v>
      </c>
      <c r="C62" s="174"/>
      <c r="D62" s="174">
        <v>0</v>
      </c>
      <c r="F62" s="173"/>
    </row>
    <row r="63" spans="1:4">
      <c r="A63" s="152" t="s">
        <v>53</v>
      </c>
      <c r="B63" s="158" t="s">
        <v>207</v>
      </c>
      <c r="C63" s="154" t="str">
        <f>C60</f>
        <v>CCT PB000071/2023</v>
      </c>
      <c r="D63" s="155">
        <v>20</v>
      </c>
    </row>
    <row r="64" spans="1:4">
      <c r="A64" s="152" t="s">
        <v>55</v>
      </c>
      <c r="B64" s="175" t="s">
        <v>208</v>
      </c>
      <c r="C64" s="154" t="str">
        <f>C9</f>
        <v>CCT PB000071/2023</v>
      </c>
      <c r="D64" s="155">
        <v>5</v>
      </c>
    </row>
    <row r="65" spans="1:4">
      <c r="A65" s="152" t="s">
        <v>87</v>
      </c>
      <c r="B65" s="175" t="s">
        <v>209</v>
      </c>
      <c r="C65" s="174" t="str">
        <f>C60</f>
        <v>CCT PB000071/2023</v>
      </c>
      <c r="D65" s="155">
        <v>40</v>
      </c>
    </row>
    <row r="66" spans="1:4">
      <c r="A66" s="152" t="s">
        <v>58</v>
      </c>
      <c r="D66" s="160">
        <f>TRUNC((SUM(D59:D65)),2)</f>
        <v>592.48</v>
      </c>
    </row>
    <row r="67" spans="1:4">
      <c r="A67" s="152"/>
      <c r="D67" s="160"/>
    </row>
    <row r="68" spans="1:4">
      <c r="A68" s="163" t="s">
        <v>105</v>
      </c>
      <c r="B68" s="151"/>
      <c r="C68" s="151"/>
      <c r="D68" s="151"/>
    </row>
    <row r="69" spans="1:4">
      <c r="A69" s="152" t="s">
        <v>106</v>
      </c>
      <c r="B69" s="158" t="s">
        <v>107</v>
      </c>
      <c r="C69" s="153" t="s">
        <v>18</v>
      </c>
      <c r="D69" s="153" t="s">
        <v>19</v>
      </c>
    </row>
    <row r="70" spans="1:4">
      <c r="A70" s="152" t="s">
        <v>65</v>
      </c>
      <c r="B70" t="s">
        <v>66</v>
      </c>
      <c r="C70" s="153"/>
      <c r="D70" s="160">
        <f>D39</f>
        <v>257.02</v>
      </c>
    </row>
    <row r="71" spans="1:4">
      <c r="A71" s="152" t="s">
        <v>78</v>
      </c>
      <c r="B71" t="s">
        <v>79</v>
      </c>
      <c r="C71" s="153"/>
      <c r="D71" s="160">
        <f>D55</f>
        <v>628.37</v>
      </c>
    </row>
    <row r="72" spans="1:4">
      <c r="A72" s="152" t="s">
        <v>96</v>
      </c>
      <c r="B72" t="s">
        <v>97</v>
      </c>
      <c r="C72" s="153"/>
      <c r="D72" s="160">
        <f>D66</f>
        <v>592.48</v>
      </c>
    </row>
    <row r="73" spans="1:4">
      <c r="A73" s="152" t="s">
        <v>58</v>
      </c>
      <c r="C73" s="153"/>
      <c r="D73" s="160">
        <f>TRUNC((SUM(D70:D72)),2)</f>
        <v>1477.87</v>
      </c>
    </row>
    <row r="75" spans="1:4">
      <c r="A75" s="130" t="s">
        <v>108</v>
      </c>
      <c r="B75" s="131"/>
      <c r="C75" s="131"/>
      <c r="D75" s="131"/>
    </row>
    <row r="76" spans="1:4">
      <c r="A76" s="152" t="s">
        <v>109</v>
      </c>
      <c r="B76" s="158" t="s">
        <v>110</v>
      </c>
      <c r="C76" s="153" t="s">
        <v>38</v>
      </c>
      <c r="D76" s="153" t="s">
        <v>19</v>
      </c>
    </row>
    <row r="77" spans="1:4">
      <c r="A77" s="152" t="s">
        <v>42</v>
      </c>
      <c r="B77" t="s">
        <v>111</v>
      </c>
      <c r="C77" s="171">
        <f>((1/12)*2%)</f>
        <v>0.00166666666666667</v>
      </c>
      <c r="D77" s="155">
        <f>TRUNC(($D$31*C77),2)</f>
        <v>2.2</v>
      </c>
    </row>
    <row r="78" spans="1:4">
      <c r="A78" s="152" t="s">
        <v>45</v>
      </c>
      <c r="B78" t="s">
        <v>112</v>
      </c>
      <c r="C78" s="176">
        <v>0.08</v>
      </c>
      <c r="D78" s="160">
        <f>TRUNC(($D$77*C78),2)</f>
        <v>0.17</v>
      </c>
    </row>
    <row r="79" ht="30" spans="1:4">
      <c r="A79" s="152" t="s">
        <v>48</v>
      </c>
      <c r="B79" s="177" t="s">
        <v>113</v>
      </c>
      <c r="C79" s="178">
        <f>(0.08*0.4*0.02)</f>
        <v>0.00064</v>
      </c>
      <c r="D79" s="174">
        <f t="shared" ref="D77:D80" si="1">TRUNC(($D$31*C79),2)</f>
        <v>0.84</v>
      </c>
    </row>
    <row r="80" spans="1:4">
      <c r="A80" s="152" t="s">
        <v>50</v>
      </c>
      <c r="B80" t="s">
        <v>114</v>
      </c>
      <c r="C80" s="176">
        <f>(((7/30)/12)*0.98)</f>
        <v>0.0190555555555556</v>
      </c>
      <c r="D80" s="160">
        <f t="shared" si="1"/>
        <v>25.18</v>
      </c>
    </row>
    <row r="81" ht="30" spans="1:4">
      <c r="A81" s="152" t="s">
        <v>53</v>
      </c>
      <c r="B81" s="177" t="s">
        <v>210</v>
      </c>
      <c r="C81" s="178">
        <f>C55</f>
        <v>0.398</v>
      </c>
      <c r="D81" s="174">
        <f>TRUNC(($D$80*C81),2)</f>
        <v>10.02</v>
      </c>
    </row>
    <row r="82" ht="30" spans="1:4">
      <c r="A82" s="152" t="s">
        <v>55</v>
      </c>
      <c r="B82" s="177" t="s">
        <v>115</v>
      </c>
      <c r="C82" s="178">
        <f>(0.08*0.4*0.98)</f>
        <v>0.03136</v>
      </c>
      <c r="D82" s="174">
        <f>TRUNC(($D$31*C82),2)</f>
        <v>41.45</v>
      </c>
    </row>
    <row r="83" spans="1:4">
      <c r="A83" s="152" t="s">
        <v>58</v>
      </c>
      <c r="C83" s="176">
        <f>SUM(C77:C82)</f>
        <v>0.530722222222222</v>
      </c>
      <c r="D83" s="160">
        <f>TRUNC((SUM(D77:D82)),2)</f>
        <v>79.86</v>
      </c>
    </row>
    <row r="84" ht="15.75" spans="1:4">
      <c r="A84" s="152"/>
      <c r="D84" s="160"/>
    </row>
    <row r="85" ht="16.5" spans="1:4">
      <c r="A85" s="161" t="s">
        <v>211</v>
      </c>
      <c r="B85" s="161"/>
      <c r="C85" s="166" t="s">
        <v>202</v>
      </c>
      <c r="D85" s="167">
        <f>D31</f>
        <v>1321.91</v>
      </c>
    </row>
    <row r="86" ht="16.5" spans="1:4">
      <c r="A86" s="161"/>
      <c r="B86" s="161"/>
      <c r="C86" s="168" t="s">
        <v>212</v>
      </c>
      <c r="D86" s="167">
        <f>D73</f>
        <v>1477.87</v>
      </c>
    </row>
    <row r="87" ht="16.5" spans="1:4">
      <c r="A87" s="161"/>
      <c r="B87" s="161"/>
      <c r="C87" s="166" t="s">
        <v>213</v>
      </c>
      <c r="D87" s="167">
        <f>D83</f>
        <v>79.86</v>
      </c>
    </row>
    <row r="88" ht="16.5" spans="1:4">
      <c r="A88" s="161"/>
      <c r="B88" s="161"/>
      <c r="C88" s="168" t="s">
        <v>204</v>
      </c>
      <c r="D88" s="169">
        <f>TRUNC((SUM(D85:D87)),2)</f>
        <v>2879.64</v>
      </c>
    </row>
    <row r="89" ht="15.75" spans="1:4">
      <c r="A89" s="152"/>
      <c r="D89" s="160"/>
    </row>
    <row r="90" spans="1:4">
      <c r="A90" s="179" t="s">
        <v>127</v>
      </c>
      <c r="B90" s="180"/>
      <c r="C90" s="180"/>
      <c r="D90" s="180"/>
    </row>
    <row r="91" spans="1:4">
      <c r="A91" s="163" t="s">
        <v>128</v>
      </c>
      <c r="B91" s="151"/>
      <c r="C91" s="151"/>
      <c r="D91" s="151"/>
    </row>
    <row r="92" spans="1:4">
      <c r="A92" s="152" t="s">
        <v>129</v>
      </c>
      <c r="B92" s="158" t="s">
        <v>130</v>
      </c>
      <c r="C92" s="153" t="s">
        <v>38</v>
      </c>
      <c r="D92" s="153" t="s">
        <v>19</v>
      </c>
    </row>
    <row r="93" spans="1:4">
      <c r="A93" s="152" t="s">
        <v>42</v>
      </c>
      <c r="B93" t="s">
        <v>132</v>
      </c>
      <c r="C93" s="176">
        <f>(((1+1/3)/12)/12)+((1/12)/12)</f>
        <v>0.0162037037037037</v>
      </c>
      <c r="D93" s="160">
        <f>TRUNC(($D$88*C93),2)</f>
        <v>46.66</v>
      </c>
    </row>
    <row r="94" spans="1:4">
      <c r="A94" s="152" t="s">
        <v>45</v>
      </c>
      <c r="B94" t="s">
        <v>133</v>
      </c>
      <c r="C94" s="171">
        <f>((5/30)/12)</f>
        <v>0.0138888888888889</v>
      </c>
      <c r="D94" s="174">
        <f>TRUNC(($D$88*C94),2)</f>
        <v>39.99</v>
      </c>
    </row>
    <row r="95" spans="1:4">
      <c r="A95" s="152" t="s">
        <v>48</v>
      </c>
      <c r="B95" t="s">
        <v>134</v>
      </c>
      <c r="C95" s="171">
        <f>((5/30)/12)*0.02</f>
        <v>0.000277777777777778</v>
      </c>
      <c r="D95" s="174">
        <f t="shared" ref="D93:D97" si="2">TRUNC(($D$88*C95),2)</f>
        <v>0.79</v>
      </c>
    </row>
    <row r="96" ht="30" spans="1:4">
      <c r="A96" s="152" t="s">
        <v>50</v>
      </c>
      <c r="B96" s="177" t="s">
        <v>135</v>
      </c>
      <c r="C96" s="178">
        <f>((15/30)/12)*0.08</f>
        <v>0.00333333333333333</v>
      </c>
      <c r="D96" s="174">
        <f t="shared" si="2"/>
        <v>9.59</v>
      </c>
    </row>
    <row r="97" spans="1:4">
      <c r="A97" s="152" t="s">
        <v>53</v>
      </c>
      <c r="B97" t="s">
        <v>136</v>
      </c>
      <c r="C97" s="171">
        <f>((1+1/3)/12)*0.00001*((4/12))</f>
        <v>3.7037037037037e-7</v>
      </c>
      <c r="D97" s="174">
        <f t="shared" si="2"/>
        <v>0</v>
      </c>
    </row>
    <row r="98" spans="1:4">
      <c r="A98" s="152" t="s">
        <v>55</v>
      </c>
      <c r="B98" s="177" t="s">
        <v>214</v>
      </c>
      <c r="C98" s="181">
        <v>0</v>
      </c>
      <c r="D98" s="174">
        <f>TRUNC($D$88*C98)</f>
        <v>0</v>
      </c>
    </row>
    <row r="99" spans="1:4">
      <c r="A99" s="152" t="s">
        <v>58</v>
      </c>
      <c r="C99" s="176">
        <f>SUBTOTAL(109,Submódulo4.159_137[Percentual])</f>
        <v>0.0337040740740741</v>
      </c>
      <c r="D99" s="160">
        <f>TRUNC((SUM(D93:D98)),2)</f>
        <v>97.03</v>
      </c>
    </row>
    <row r="100" spans="1:4">
      <c r="A100" s="152"/>
      <c r="C100" s="153"/>
      <c r="D100" s="160"/>
    </row>
    <row r="101" spans="1:4">
      <c r="A101" s="163" t="s">
        <v>144</v>
      </c>
      <c r="B101" s="151"/>
      <c r="C101" s="151"/>
      <c r="D101" s="151"/>
    </row>
    <row r="102" spans="1:4">
      <c r="A102" s="152" t="s">
        <v>145</v>
      </c>
      <c r="B102" s="158" t="s">
        <v>146</v>
      </c>
      <c r="C102" s="153" t="s">
        <v>18</v>
      </c>
      <c r="D102" s="153" t="s">
        <v>19</v>
      </c>
    </row>
    <row r="103" ht="105" spans="1:4">
      <c r="A103" s="152" t="s">
        <v>42</v>
      </c>
      <c r="B103" s="182" t="s">
        <v>147</v>
      </c>
      <c r="C103" s="183" t="s">
        <v>215</v>
      </c>
      <c r="D103" s="184" t="s">
        <v>216</v>
      </c>
    </row>
    <row r="104" spans="1:4">
      <c r="A104" s="152" t="s">
        <v>58</v>
      </c>
      <c r="C104" s="185"/>
      <c r="D104" s="186" t="str">
        <f>D103</f>
        <v>*=TRUNCAR(($D$86/220)*(1*(365/12))/2)</v>
      </c>
    </row>
    <row r="106" spans="1:4">
      <c r="A106" s="163" t="s">
        <v>148</v>
      </c>
      <c r="B106" s="151"/>
      <c r="C106" s="151"/>
      <c r="D106" s="151"/>
    </row>
    <row r="107" spans="1:4">
      <c r="A107" s="152" t="s">
        <v>149</v>
      </c>
      <c r="B107" s="158" t="s">
        <v>150</v>
      </c>
      <c r="C107" s="153" t="s">
        <v>18</v>
      </c>
      <c r="D107" s="153" t="s">
        <v>19</v>
      </c>
    </row>
    <row r="108" spans="1:4">
      <c r="A108" s="152" t="s">
        <v>129</v>
      </c>
      <c r="B108" t="s">
        <v>130</v>
      </c>
      <c r="D108" s="155">
        <f>D99</f>
        <v>97.03</v>
      </c>
    </row>
    <row r="109" spans="1:4">
      <c r="A109" s="152" t="s">
        <v>145</v>
      </c>
      <c r="B109" t="s">
        <v>151</v>
      </c>
      <c r="C109" s="158"/>
      <c r="D109" s="187" t="str">
        <f>Submódulo4.260_138[[#Totals],[Valor]]</f>
        <v>*=TRUNCAR(($D$86/220)*(1*(365/12))/2)</v>
      </c>
    </row>
    <row r="110" ht="75" spans="1:4">
      <c r="A110" s="152" t="s">
        <v>58</v>
      </c>
      <c r="B110" s="173"/>
      <c r="C110" s="183" t="s">
        <v>217</v>
      </c>
      <c r="D110" s="188">
        <f>TRUNC((SUM(D108:D109)),2)</f>
        <v>97.03</v>
      </c>
    </row>
    <row r="112" spans="1:4">
      <c r="A112" s="130" t="s">
        <v>152</v>
      </c>
      <c r="B112" s="131"/>
      <c r="C112" s="131"/>
      <c r="D112" s="131"/>
    </row>
    <row r="113" spans="1:4">
      <c r="A113" s="152" t="s">
        <v>153</v>
      </c>
      <c r="B113" s="152" t="s">
        <v>154</v>
      </c>
      <c r="C113" s="152" t="s">
        <v>18</v>
      </c>
      <c r="D113" s="152" t="s">
        <v>19</v>
      </c>
    </row>
    <row r="114" spans="1:4">
      <c r="A114" s="152" t="s">
        <v>42</v>
      </c>
      <c r="B114" t="s">
        <v>218</v>
      </c>
      <c r="D114" s="189">
        <f>'Uniformes e EPI'!G163</f>
        <v>86.48</v>
      </c>
    </row>
    <row r="115" spans="1:4">
      <c r="A115" s="152" t="s">
        <v>45</v>
      </c>
      <c r="B115" t="s">
        <v>219</v>
      </c>
      <c r="D115" s="189">
        <f>EPC!E21</f>
        <v>12.16</v>
      </c>
    </row>
    <row r="116" spans="1:4">
      <c r="A116" s="152" t="s">
        <v>48</v>
      </c>
      <c r="B116" t="s">
        <v>156</v>
      </c>
      <c r="D116" s="189">
        <f>'Equipamentos e Materiais'!E113</f>
        <v>161.05</v>
      </c>
    </row>
    <row r="117" spans="1:4">
      <c r="A117" s="152" t="s">
        <v>50</v>
      </c>
      <c r="B117" t="s">
        <v>157</v>
      </c>
      <c r="D117" s="189">
        <f>'Equipamentos e Materiais'!F144</f>
        <v>29.49</v>
      </c>
    </row>
    <row r="118" spans="1:4">
      <c r="A118" s="152" t="s">
        <v>53</v>
      </c>
      <c r="B118" t="s">
        <v>220</v>
      </c>
      <c r="D118" s="189">
        <f>H117</f>
        <v>0</v>
      </c>
    </row>
    <row r="119" spans="1:4">
      <c r="A119" s="152" t="s">
        <v>58</v>
      </c>
      <c r="D119" s="190">
        <f>TRUNC(SUM(D114:D118),2)</f>
        <v>289.18</v>
      </c>
    </row>
    <row r="120" ht="15.75"/>
    <row r="121" ht="16.5" spans="1:4">
      <c r="A121" s="161" t="s">
        <v>221</v>
      </c>
      <c r="B121" s="161"/>
      <c r="C121" s="166" t="s">
        <v>202</v>
      </c>
      <c r="D121" s="167">
        <f>D31</f>
        <v>1321.91</v>
      </c>
    </row>
    <row r="122" ht="16.5" spans="1:4">
      <c r="A122" s="161"/>
      <c r="B122" s="161"/>
      <c r="C122" s="168" t="s">
        <v>212</v>
      </c>
      <c r="D122" s="167">
        <f>D73</f>
        <v>1477.87</v>
      </c>
    </row>
    <row r="123" ht="16.5" spans="1:4">
      <c r="A123" s="161"/>
      <c r="B123" s="161"/>
      <c r="C123" s="166" t="s">
        <v>213</v>
      </c>
      <c r="D123" s="167">
        <f>D83</f>
        <v>79.86</v>
      </c>
    </row>
    <row r="124" ht="16.5" spans="1:4">
      <c r="A124" s="161"/>
      <c r="B124" s="161"/>
      <c r="C124" s="168" t="s">
        <v>222</v>
      </c>
      <c r="D124" s="167">
        <f>D110</f>
        <v>97.03</v>
      </c>
    </row>
    <row r="125" ht="16.5" spans="1:4">
      <c r="A125" s="161"/>
      <c r="B125" s="161"/>
      <c r="C125" s="166" t="s">
        <v>223</v>
      </c>
      <c r="D125" s="167">
        <f>D119</f>
        <v>289.18</v>
      </c>
    </row>
    <row r="126" ht="16.5" spans="1:4">
      <c r="A126" s="161"/>
      <c r="B126" s="161"/>
      <c r="C126" s="168" t="s">
        <v>204</v>
      </c>
      <c r="D126" s="169">
        <f>TRUNC((SUM(D121:D125)),2)</f>
        <v>3265.85</v>
      </c>
    </row>
    <row r="127" ht="15.75"/>
    <row r="128" spans="1:4">
      <c r="A128" s="130" t="s">
        <v>164</v>
      </c>
      <c r="B128" s="131"/>
      <c r="C128" s="131"/>
      <c r="D128" s="131"/>
    </row>
    <row r="129" ht="15.75" spans="1:7">
      <c r="A129" s="152" t="s">
        <v>165</v>
      </c>
      <c r="B129" t="s">
        <v>166</v>
      </c>
      <c r="C129" s="153" t="s">
        <v>38</v>
      </c>
      <c r="D129" s="153" t="s">
        <v>19</v>
      </c>
      <c r="F129" s="191" t="s">
        <v>224</v>
      </c>
      <c r="G129" s="191"/>
    </row>
    <row r="130" ht="15.75" spans="1:7">
      <c r="A130" s="152" t="s">
        <v>42</v>
      </c>
      <c r="B130" t="s">
        <v>167</v>
      </c>
      <c r="C130" s="192">
        <v>0.05</v>
      </c>
      <c r="D130" s="155">
        <f>TRUNC(($D$126*C130),2)</f>
        <v>163.29</v>
      </c>
      <c r="F130" s="193" t="s">
        <v>225</v>
      </c>
      <c r="G130" s="178">
        <f>C132</f>
        <v>0.0865</v>
      </c>
    </row>
    <row r="131" ht="15.75" spans="1:7">
      <c r="A131" s="152" t="s">
        <v>45</v>
      </c>
      <c r="B131" t="s">
        <v>59</v>
      </c>
      <c r="C131" s="192">
        <v>0.0462</v>
      </c>
      <c r="D131" s="155">
        <f>TRUNC((C131*(D126+D130)),2)</f>
        <v>158.42</v>
      </c>
      <c r="F131" s="194" t="s">
        <v>226</v>
      </c>
      <c r="G131" s="195">
        <f>TRUNC(SUM(D126,D130,D131),2)</f>
        <v>3587.56</v>
      </c>
    </row>
    <row r="132" ht="15.75" spans="1:7">
      <c r="A132" s="152" t="s">
        <v>48</v>
      </c>
      <c r="B132" t="s">
        <v>168</v>
      </c>
      <c r="C132" s="192">
        <f>SUM(C133:C135)</f>
        <v>0.0865</v>
      </c>
      <c r="D132" s="155">
        <f>TRUNC((SUM(D133:D135)),2)</f>
        <v>339.69</v>
      </c>
      <c r="F132" s="193" t="s">
        <v>227</v>
      </c>
      <c r="G132" s="196">
        <f>(100-8.65)/100</f>
        <v>0.9135</v>
      </c>
    </row>
    <row r="133" ht="15.75" spans="1:7">
      <c r="A133" s="152"/>
      <c r="B133" t="s">
        <v>228</v>
      </c>
      <c r="C133" s="171">
        <v>0.0065</v>
      </c>
      <c r="D133" s="155">
        <f t="shared" ref="D133:D135" si="3">TRUNC(($G$133*C133),2)</f>
        <v>25.52</v>
      </c>
      <c r="F133" s="194" t="s">
        <v>224</v>
      </c>
      <c r="G133" s="195">
        <f>TRUNC((G131/G132),2)</f>
        <v>3927.26</v>
      </c>
    </row>
    <row r="134" ht="15.75" spans="1:4">
      <c r="A134" s="152"/>
      <c r="B134" t="s">
        <v>229</v>
      </c>
      <c r="C134" s="171">
        <v>0.03</v>
      </c>
      <c r="D134" s="155">
        <f t="shared" si="3"/>
        <v>117.81</v>
      </c>
    </row>
    <row r="135" spans="1:4">
      <c r="A135" s="152"/>
      <c r="B135" t="s">
        <v>230</v>
      </c>
      <c r="C135" s="171">
        <v>0.05</v>
      </c>
      <c r="D135" s="155">
        <f t="shared" si="3"/>
        <v>196.36</v>
      </c>
    </row>
    <row r="136" spans="1:4">
      <c r="A136" s="152" t="s">
        <v>58</v>
      </c>
      <c r="C136" s="197"/>
      <c r="D136" s="160">
        <f>TRUNC(SUM(D130:D132),2)</f>
        <v>661.4</v>
      </c>
    </row>
    <row r="137" spans="1:4">
      <c r="A137" s="152"/>
      <c r="C137" s="197"/>
      <c r="D137" s="160"/>
    </row>
    <row r="139" spans="1:4">
      <c r="A139" s="130" t="s">
        <v>172</v>
      </c>
      <c r="B139" s="131"/>
      <c r="C139" s="131"/>
      <c r="D139" s="131"/>
    </row>
    <row r="140" spans="1:4">
      <c r="A140" s="152" t="s">
        <v>16</v>
      </c>
      <c r="B140" s="153" t="s">
        <v>173</v>
      </c>
      <c r="C140" s="153" t="s">
        <v>102</v>
      </c>
      <c r="D140" s="153" t="s">
        <v>19</v>
      </c>
    </row>
    <row r="141" spans="1:4">
      <c r="A141" s="152" t="s">
        <v>42</v>
      </c>
      <c r="B141" t="s">
        <v>36</v>
      </c>
      <c r="D141" s="160">
        <f>D31</f>
        <v>1321.91</v>
      </c>
    </row>
    <row r="142" spans="1:4">
      <c r="A142" s="152" t="s">
        <v>45</v>
      </c>
      <c r="B142" t="s">
        <v>61</v>
      </c>
      <c r="D142" s="160">
        <f>D73</f>
        <v>1477.87</v>
      </c>
    </row>
    <row r="143" spans="1:4">
      <c r="A143" s="152" t="s">
        <v>48</v>
      </c>
      <c r="B143" t="s">
        <v>108</v>
      </c>
      <c r="D143" s="160">
        <f>D83</f>
        <v>79.86</v>
      </c>
    </row>
    <row r="144" spans="1:4">
      <c r="A144" s="152" t="s">
        <v>50</v>
      </c>
      <c r="B144" t="s">
        <v>174</v>
      </c>
      <c r="D144" s="160">
        <f>D110</f>
        <v>97.03</v>
      </c>
    </row>
    <row r="145" spans="1:4">
      <c r="A145" s="152" t="s">
        <v>53</v>
      </c>
      <c r="B145" t="s">
        <v>152</v>
      </c>
      <c r="D145" s="160">
        <f>D119</f>
        <v>289.18</v>
      </c>
    </row>
    <row r="146" spans="2:4">
      <c r="B146" s="198" t="s">
        <v>175</v>
      </c>
      <c r="D146" s="160">
        <f>TRUNC(SUM(D141:D145),2)</f>
        <v>3265.85</v>
      </c>
    </row>
    <row r="147" spans="1:4">
      <c r="A147" s="152" t="s">
        <v>55</v>
      </c>
      <c r="B147" t="s">
        <v>164</v>
      </c>
      <c r="D147" s="160">
        <f>D136</f>
        <v>661.4</v>
      </c>
    </row>
    <row r="148" spans="1:4">
      <c r="A148" s="199"/>
      <c r="B148" s="200" t="s">
        <v>232</v>
      </c>
      <c r="C148" s="201"/>
      <c r="D148" s="202">
        <f>TRUNC((SUM(D141:D145)+D147),2)</f>
        <v>3927.25</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A128:D128"/>
    <mergeCell ref="F129:G129"/>
    <mergeCell ref="A139:D139"/>
    <mergeCell ref="A41:B43"/>
    <mergeCell ref="A85:B88"/>
    <mergeCell ref="A121:B126"/>
  </mergeCells>
  <pageMargins left="0.75" right="0.75" top="1" bottom="1" header="0.5" footer="0.5"/>
  <pageSetup paperSize="9" scale="90"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8"/>
  <sheetViews>
    <sheetView zoomScale="90" zoomScaleNormal="90" workbookViewId="0">
      <selection activeCell="J5" sqref="J5"/>
    </sheetView>
  </sheetViews>
  <sheetFormatPr defaultColWidth="9.14285714285714" defaultRowHeight="15" outlineLevelCol="7"/>
  <cols>
    <col min="2" max="2" width="13.1619047619048" style="105" customWidth="1"/>
    <col min="3" max="3" width="39.3619047619048" customWidth="1"/>
    <col min="4" max="4" width="9" style="106" customWidth="1"/>
    <col min="5" max="5" width="9.71428571428571" customWidth="1"/>
    <col min="6" max="6" width="12.6952380952381" customWidth="1"/>
    <col min="7" max="7" width="12.2857142857143" customWidth="1"/>
    <col min="8" max="8" width="13.3333333333333" customWidth="1"/>
  </cols>
  <sheetData>
    <row r="1" spans="1:8">
      <c r="A1" s="107" t="s">
        <v>252</v>
      </c>
      <c r="B1" s="108"/>
      <c r="C1" s="107"/>
      <c r="D1" s="109"/>
      <c r="E1" s="107"/>
      <c r="F1" s="107"/>
      <c r="G1" s="107"/>
      <c r="H1" s="107"/>
    </row>
    <row r="2" spans="1:8">
      <c r="A2" s="110" t="s">
        <v>253</v>
      </c>
      <c r="B2" s="111"/>
      <c r="C2" s="110"/>
      <c r="D2" s="112"/>
      <c r="E2" s="110"/>
      <c r="F2" s="110"/>
      <c r="G2" s="110"/>
      <c r="H2" s="110"/>
    </row>
    <row r="3" ht="60" spans="1:8">
      <c r="A3" s="113" t="s">
        <v>254</v>
      </c>
      <c r="B3" s="113" t="s">
        <v>255</v>
      </c>
      <c r="C3" s="113" t="s">
        <v>256</v>
      </c>
      <c r="D3" s="113" t="s">
        <v>257</v>
      </c>
      <c r="E3" s="113" t="s">
        <v>258</v>
      </c>
      <c r="F3" s="113" t="s">
        <v>259</v>
      </c>
      <c r="G3" s="113" t="s">
        <v>260</v>
      </c>
      <c r="H3" s="113" t="s">
        <v>261</v>
      </c>
    </row>
    <row r="4" ht="60" spans="1:8">
      <c r="A4" s="114">
        <v>1</v>
      </c>
      <c r="B4" s="101" t="s">
        <v>262</v>
      </c>
      <c r="C4" s="115" t="s">
        <v>263</v>
      </c>
      <c r="D4" s="101" t="s">
        <v>264</v>
      </c>
      <c r="E4" s="116">
        <v>69.85</v>
      </c>
      <c r="F4" s="101">
        <v>4</v>
      </c>
      <c r="G4" s="117">
        <f>TRUNC(F4*E4,2)</f>
        <v>279.4</v>
      </c>
      <c r="H4" s="117">
        <f>TRUNC(G4/12,2)</f>
        <v>23.28</v>
      </c>
    </row>
    <row r="5" ht="60" spans="1:8">
      <c r="A5" s="114">
        <v>2</v>
      </c>
      <c r="B5" s="101" t="s">
        <v>265</v>
      </c>
      <c r="C5" s="115" t="s">
        <v>266</v>
      </c>
      <c r="D5" s="101" t="s">
        <v>264</v>
      </c>
      <c r="E5" s="116">
        <v>69.14</v>
      </c>
      <c r="F5" s="101">
        <v>4</v>
      </c>
      <c r="G5" s="117">
        <f t="shared" ref="G5:G19" si="0">TRUNC(F5*E5,2)</f>
        <v>276.56</v>
      </c>
      <c r="H5" s="117">
        <f t="shared" ref="H5:H19" si="1">TRUNC(G5/12,2)</f>
        <v>23.04</v>
      </c>
    </row>
    <row r="6" ht="60" spans="1:8">
      <c r="A6" s="114">
        <v>3</v>
      </c>
      <c r="B6" s="101" t="s">
        <v>265</v>
      </c>
      <c r="C6" s="115" t="s">
        <v>267</v>
      </c>
      <c r="D6" s="101" t="s">
        <v>264</v>
      </c>
      <c r="E6" s="116">
        <v>39.15</v>
      </c>
      <c r="F6" s="101">
        <v>4</v>
      </c>
      <c r="G6" s="117">
        <f t="shared" si="0"/>
        <v>156.6</v>
      </c>
      <c r="H6" s="117">
        <f t="shared" si="1"/>
        <v>13.05</v>
      </c>
    </row>
    <row r="7" ht="30" spans="1:8">
      <c r="A7" s="114">
        <v>4</v>
      </c>
      <c r="B7" s="118" t="s">
        <v>268</v>
      </c>
      <c r="C7" s="115" t="s">
        <v>269</v>
      </c>
      <c r="D7" s="101" t="s">
        <v>264</v>
      </c>
      <c r="E7" s="116">
        <v>17.62</v>
      </c>
      <c r="F7" s="101">
        <v>2</v>
      </c>
      <c r="G7" s="117">
        <f t="shared" si="0"/>
        <v>35.24</v>
      </c>
      <c r="H7" s="117">
        <f t="shared" si="1"/>
        <v>2.93</v>
      </c>
    </row>
    <row r="8" ht="90" spans="1:8">
      <c r="A8" s="114">
        <v>5</v>
      </c>
      <c r="B8" s="118" t="s">
        <v>270</v>
      </c>
      <c r="C8" s="115" t="s">
        <v>271</v>
      </c>
      <c r="D8" s="101" t="s">
        <v>272</v>
      </c>
      <c r="E8" s="116">
        <v>31</v>
      </c>
      <c r="F8" s="101">
        <v>2</v>
      </c>
      <c r="G8" s="117">
        <f t="shared" si="0"/>
        <v>62</v>
      </c>
      <c r="H8" s="117">
        <f t="shared" si="1"/>
        <v>5.16</v>
      </c>
    </row>
    <row r="9" ht="60" spans="1:8">
      <c r="A9" s="114">
        <v>6</v>
      </c>
      <c r="B9" s="101" t="s">
        <v>273</v>
      </c>
      <c r="C9" s="115" t="s">
        <v>274</v>
      </c>
      <c r="D9" s="101" t="s">
        <v>272</v>
      </c>
      <c r="E9" s="116">
        <v>51</v>
      </c>
      <c r="F9" s="101">
        <v>2</v>
      </c>
      <c r="G9" s="117">
        <f t="shared" si="0"/>
        <v>102</v>
      </c>
      <c r="H9" s="117">
        <f t="shared" si="1"/>
        <v>8.5</v>
      </c>
    </row>
    <row r="10" ht="105" spans="1:8">
      <c r="A10" s="114">
        <v>7</v>
      </c>
      <c r="B10" s="101" t="s">
        <v>273</v>
      </c>
      <c r="C10" s="115" t="s">
        <v>275</v>
      </c>
      <c r="D10" s="101" t="s">
        <v>272</v>
      </c>
      <c r="E10" s="116">
        <v>55</v>
      </c>
      <c r="F10" s="101">
        <v>1</v>
      </c>
      <c r="G10" s="117">
        <f t="shared" si="0"/>
        <v>55</v>
      </c>
      <c r="H10" s="117">
        <f t="shared" si="1"/>
        <v>4.58</v>
      </c>
    </row>
    <row r="11" ht="45" spans="1:8">
      <c r="A11" s="114">
        <v>8</v>
      </c>
      <c r="B11" s="101" t="s">
        <v>276</v>
      </c>
      <c r="C11" s="115" t="s">
        <v>277</v>
      </c>
      <c r="D11" s="101" t="s">
        <v>272</v>
      </c>
      <c r="E11" s="116">
        <v>11.47</v>
      </c>
      <c r="F11" s="101">
        <v>4</v>
      </c>
      <c r="G11" s="117">
        <f t="shared" si="0"/>
        <v>45.88</v>
      </c>
      <c r="H11" s="117">
        <f t="shared" si="1"/>
        <v>3.82</v>
      </c>
    </row>
    <row r="12" ht="45" spans="1:8">
      <c r="A12" s="114">
        <v>9</v>
      </c>
      <c r="B12" s="101" t="s">
        <v>278</v>
      </c>
      <c r="C12" s="115" t="s">
        <v>279</v>
      </c>
      <c r="D12" s="101" t="s">
        <v>264</v>
      </c>
      <c r="E12" s="116">
        <v>12.65</v>
      </c>
      <c r="F12" s="101">
        <v>1</v>
      </c>
      <c r="G12" s="117">
        <f t="shared" si="0"/>
        <v>12.65</v>
      </c>
      <c r="H12" s="117">
        <f t="shared" si="1"/>
        <v>1.05</v>
      </c>
    </row>
    <row r="13" ht="60" spans="1:8">
      <c r="A13" s="114">
        <v>10</v>
      </c>
      <c r="B13" s="101" t="s">
        <v>280</v>
      </c>
      <c r="C13" s="115" t="s">
        <v>281</v>
      </c>
      <c r="D13" s="101" t="s">
        <v>264</v>
      </c>
      <c r="E13" s="116">
        <v>19.88</v>
      </c>
      <c r="F13" s="101">
        <v>1</v>
      </c>
      <c r="G13" s="117">
        <f t="shared" si="0"/>
        <v>19.88</v>
      </c>
      <c r="H13" s="117">
        <f t="shared" si="1"/>
        <v>1.65</v>
      </c>
    </row>
    <row r="14" ht="60" spans="1:8">
      <c r="A14" s="114">
        <v>11</v>
      </c>
      <c r="B14" s="101" t="s">
        <v>282</v>
      </c>
      <c r="C14" s="115" t="s">
        <v>283</v>
      </c>
      <c r="D14" s="101" t="s">
        <v>284</v>
      </c>
      <c r="E14" s="116">
        <v>150</v>
      </c>
      <c r="F14" s="101">
        <v>1</v>
      </c>
      <c r="G14" s="117">
        <f t="shared" si="0"/>
        <v>150</v>
      </c>
      <c r="H14" s="117">
        <f t="shared" si="1"/>
        <v>12.5</v>
      </c>
    </row>
    <row r="15" ht="60" spans="1:8">
      <c r="A15" s="114">
        <v>12</v>
      </c>
      <c r="B15" s="101" t="s">
        <v>285</v>
      </c>
      <c r="C15" s="115" t="s">
        <v>286</v>
      </c>
      <c r="D15" s="101" t="s">
        <v>272</v>
      </c>
      <c r="E15" s="116">
        <v>4.65</v>
      </c>
      <c r="F15" s="101">
        <v>6</v>
      </c>
      <c r="G15" s="117">
        <f t="shared" si="0"/>
        <v>27.9</v>
      </c>
      <c r="H15" s="117">
        <f t="shared" si="1"/>
        <v>2.32</v>
      </c>
    </row>
    <row r="16" ht="75" spans="1:8">
      <c r="A16" s="114">
        <v>13</v>
      </c>
      <c r="B16" s="101" t="s">
        <v>287</v>
      </c>
      <c r="C16" s="115" t="s">
        <v>288</v>
      </c>
      <c r="D16" s="101" t="s">
        <v>264</v>
      </c>
      <c r="E16" s="116">
        <v>5.13</v>
      </c>
      <c r="F16" s="101">
        <v>2</v>
      </c>
      <c r="G16" s="117">
        <f t="shared" si="0"/>
        <v>10.26</v>
      </c>
      <c r="H16" s="117">
        <f t="shared" si="1"/>
        <v>0.85</v>
      </c>
    </row>
    <row r="17" ht="45" spans="1:8">
      <c r="A17" s="114">
        <v>14</v>
      </c>
      <c r="B17" s="101" t="s">
        <v>289</v>
      </c>
      <c r="C17" s="115" t="s">
        <v>290</v>
      </c>
      <c r="D17" s="101" t="s">
        <v>264</v>
      </c>
      <c r="E17" s="116">
        <v>4.15</v>
      </c>
      <c r="F17" s="101">
        <v>4</v>
      </c>
      <c r="G17" s="117">
        <f t="shared" si="0"/>
        <v>16.6</v>
      </c>
      <c r="H17" s="117">
        <f t="shared" si="1"/>
        <v>1.38</v>
      </c>
    </row>
    <row r="18" ht="30" spans="1:8">
      <c r="A18" s="114">
        <v>15</v>
      </c>
      <c r="B18" s="101" t="s">
        <v>291</v>
      </c>
      <c r="C18" s="115" t="s">
        <v>292</v>
      </c>
      <c r="D18" s="101" t="s">
        <v>264</v>
      </c>
      <c r="E18" s="116">
        <v>21.27</v>
      </c>
      <c r="F18" s="101">
        <v>4</v>
      </c>
      <c r="G18" s="117">
        <f t="shared" si="0"/>
        <v>85.08</v>
      </c>
      <c r="H18" s="117">
        <f t="shared" si="1"/>
        <v>7.09</v>
      </c>
    </row>
    <row r="19" ht="105" spans="1:8">
      <c r="A19" s="114">
        <v>16</v>
      </c>
      <c r="B19" s="114" t="s">
        <v>293</v>
      </c>
      <c r="C19" s="115" t="s">
        <v>294</v>
      </c>
      <c r="D19" s="101" t="s">
        <v>264</v>
      </c>
      <c r="E19" s="116">
        <v>1.6</v>
      </c>
      <c r="F19" s="101">
        <v>12</v>
      </c>
      <c r="G19" s="117">
        <f t="shared" si="0"/>
        <v>19.2</v>
      </c>
      <c r="H19" s="117">
        <f t="shared" si="1"/>
        <v>1.6</v>
      </c>
    </row>
    <row r="20" spans="1:8">
      <c r="A20" s="78" t="s">
        <v>204</v>
      </c>
      <c r="B20" s="78"/>
      <c r="C20" s="78"/>
      <c r="D20" s="78"/>
      <c r="E20" s="78"/>
      <c r="F20" s="78"/>
      <c r="G20" s="79">
        <f>TRUNC(SUM(H4:H19),2)</f>
        <v>112.8</v>
      </c>
      <c r="H20" s="79"/>
    </row>
    <row r="23" spans="1:8">
      <c r="A23" s="107" t="s">
        <v>252</v>
      </c>
      <c r="B23" s="108"/>
      <c r="C23" s="107"/>
      <c r="D23" s="109"/>
      <c r="E23" s="107"/>
      <c r="F23" s="107"/>
      <c r="G23" s="107"/>
      <c r="H23" s="107"/>
    </row>
    <row r="24" spans="1:8">
      <c r="A24" s="110" t="s">
        <v>295</v>
      </c>
      <c r="B24" s="111"/>
      <c r="C24" s="110"/>
      <c r="D24" s="112"/>
      <c r="E24" s="110"/>
      <c r="F24" s="110"/>
      <c r="G24" s="110"/>
      <c r="H24" s="110"/>
    </row>
    <row r="25" ht="60" spans="1:8">
      <c r="A25" s="113" t="s">
        <v>254</v>
      </c>
      <c r="B25" s="113" t="s">
        <v>255</v>
      </c>
      <c r="C25" s="113" t="s">
        <v>256</v>
      </c>
      <c r="D25" s="113" t="s">
        <v>257</v>
      </c>
      <c r="E25" s="113" t="s">
        <v>258</v>
      </c>
      <c r="F25" s="113" t="s">
        <v>259</v>
      </c>
      <c r="G25" s="113" t="s">
        <v>260</v>
      </c>
      <c r="H25" s="113" t="s">
        <v>261</v>
      </c>
    </row>
    <row r="26" ht="75" spans="1:8">
      <c r="A26" s="114">
        <v>1</v>
      </c>
      <c r="B26" s="101" t="s">
        <v>262</v>
      </c>
      <c r="C26" s="119" t="s">
        <v>296</v>
      </c>
      <c r="D26" s="101" t="s">
        <v>264</v>
      </c>
      <c r="E26" s="116">
        <v>69.85</v>
      </c>
      <c r="F26" s="101">
        <v>4</v>
      </c>
      <c r="G26" s="117">
        <f>TRUNC(F26*E26,2)</f>
        <v>279.4</v>
      </c>
      <c r="H26" s="117">
        <f>TRUNC(G26/12,2)</f>
        <v>23.28</v>
      </c>
    </row>
    <row r="27" ht="90" spans="1:8">
      <c r="A27" s="114">
        <v>2</v>
      </c>
      <c r="B27" s="101" t="s">
        <v>265</v>
      </c>
      <c r="C27" s="119" t="s">
        <v>297</v>
      </c>
      <c r="D27" s="101" t="s">
        <v>264</v>
      </c>
      <c r="E27" s="116">
        <v>69.14</v>
      </c>
      <c r="F27" s="101">
        <v>4</v>
      </c>
      <c r="G27" s="117">
        <f t="shared" ref="G27:G41" si="2">TRUNC(F27*E27,2)</f>
        <v>276.56</v>
      </c>
      <c r="H27" s="117">
        <f t="shared" ref="H27:H41" si="3">TRUNC(G27/12,2)</f>
        <v>23.04</v>
      </c>
    </row>
    <row r="28" ht="60" spans="1:8">
      <c r="A28" s="114">
        <v>3</v>
      </c>
      <c r="B28" s="101" t="s">
        <v>265</v>
      </c>
      <c r="C28" s="120" t="s">
        <v>267</v>
      </c>
      <c r="D28" s="101" t="s">
        <v>264</v>
      </c>
      <c r="E28" s="116">
        <v>39.15</v>
      </c>
      <c r="F28" s="101">
        <v>4</v>
      </c>
      <c r="G28" s="117">
        <f t="shared" si="2"/>
        <v>156.6</v>
      </c>
      <c r="H28" s="117">
        <f t="shared" si="3"/>
        <v>13.05</v>
      </c>
    </row>
    <row r="29" ht="30" spans="1:8">
      <c r="A29" s="114">
        <v>4</v>
      </c>
      <c r="B29" s="118" t="s">
        <v>268</v>
      </c>
      <c r="C29" s="119" t="s">
        <v>269</v>
      </c>
      <c r="D29" s="101" t="s">
        <v>264</v>
      </c>
      <c r="E29" s="116">
        <v>17.62</v>
      </c>
      <c r="F29" s="101">
        <v>2</v>
      </c>
      <c r="G29" s="117">
        <f t="shared" si="2"/>
        <v>35.24</v>
      </c>
      <c r="H29" s="117">
        <f t="shared" si="3"/>
        <v>2.93</v>
      </c>
    </row>
    <row r="30" ht="90" spans="1:8">
      <c r="A30" s="114">
        <v>5</v>
      </c>
      <c r="B30" s="118" t="s">
        <v>270</v>
      </c>
      <c r="C30" s="119" t="s">
        <v>271</v>
      </c>
      <c r="D30" s="101" t="s">
        <v>272</v>
      </c>
      <c r="E30" s="116">
        <v>31</v>
      </c>
      <c r="F30" s="101">
        <v>2</v>
      </c>
      <c r="G30" s="117">
        <f t="shared" si="2"/>
        <v>62</v>
      </c>
      <c r="H30" s="117">
        <f t="shared" si="3"/>
        <v>5.16</v>
      </c>
    </row>
    <row r="31" ht="105" spans="1:8">
      <c r="A31" s="114">
        <v>6</v>
      </c>
      <c r="B31" s="118" t="s">
        <v>273</v>
      </c>
      <c r="C31" s="119" t="s">
        <v>298</v>
      </c>
      <c r="D31" s="101" t="s">
        <v>272</v>
      </c>
      <c r="E31" s="116">
        <v>59.35</v>
      </c>
      <c r="F31" s="101">
        <v>2</v>
      </c>
      <c r="G31" s="117">
        <f t="shared" si="2"/>
        <v>118.7</v>
      </c>
      <c r="H31" s="117">
        <f t="shared" si="3"/>
        <v>9.89</v>
      </c>
    </row>
    <row r="32" ht="45" spans="1:8">
      <c r="A32" s="114">
        <v>7</v>
      </c>
      <c r="B32" s="101" t="s">
        <v>276</v>
      </c>
      <c r="C32" s="119" t="s">
        <v>277</v>
      </c>
      <c r="D32" s="101" t="s">
        <v>272</v>
      </c>
      <c r="E32" s="116">
        <v>55</v>
      </c>
      <c r="F32" s="101">
        <v>4</v>
      </c>
      <c r="G32" s="117">
        <f t="shared" si="2"/>
        <v>220</v>
      </c>
      <c r="H32" s="117">
        <f t="shared" si="3"/>
        <v>18.33</v>
      </c>
    </row>
    <row r="33" ht="45" spans="1:8">
      <c r="A33" s="114">
        <v>8</v>
      </c>
      <c r="B33" s="101" t="s">
        <v>278</v>
      </c>
      <c r="C33" s="119" t="s">
        <v>279</v>
      </c>
      <c r="D33" s="101" t="s">
        <v>264</v>
      </c>
      <c r="E33" s="116">
        <v>11.47</v>
      </c>
      <c r="F33" s="101">
        <v>1</v>
      </c>
      <c r="G33" s="117">
        <f t="shared" si="2"/>
        <v>11.47</v>
      </c>
      <c r="H33" s="117">
        <f t="shared" si="3"/>
        <v>0.95</v>
      </c>
    </row>
    <row r="34" ht="120" spans="1:8">
      <c r="A34" s="114">
        <v>9</v>
      </c>
      <c r="B34" s="101" t="s">
        <v>280</v>
      </c>
      <c r="C34" s="119" t="s">
        <v>299</v>
      </c>
      <c r="D34" s="101" t="s">
        <v>264</v>
      </c>
      <c r="E34" s="116">
        <v>12.65</v>
      </c>
      <c r="F34" s="101">
        <v>1</v>
      </c>
      <c r="G34" s="117">
        <f t="shared" si="2"/>
        <v>12.65</v>
      </c>
      <c r="H34" s="117">
        <f t="shared" si="3"/>
        <v>1.05</v>
      </c>
    </row>
    <row r="35" ht="60" spans="1:8">
      <c r="A35" s="114">
        <v>10</v>
      </c>
      <c r="B35" s="101" t="s">
        <v>282</v>
      </c>
      <c r="C35" s="119" t="s">
        <v>283</v>
      </c>
      <c r="D35" s="101" t="s">
        <v>284</v>
      </c>
      <c r="E35" s="116">
        <v>19.88</v>
      </c>
      <c r="F35" s="101">
        <v>1</v>
      </c>
      <c r="G35" s="117">
        <f t="shared" si="2"/>
        <v>19.88</v>
      </c>
      <c r="H35" s="117">
        <f t="shared" si="3"/>
        <v>1.65</v>
      </c>
    </row>
    <row r="36" ht="45" spans="1:8">
      <c r="A36" s="114">
        <v>11</v>
      </c>
      <c r="B36" s="101" t="s">
        <v>285</v>
      </c>
      <c r="C36" s="119" t="s">
        <v>300</v>
      </c>
      <c r="D36" s="101" t="s">
        <v>272</v>
      </c>
      <c r="E36" s="116">
        <v>150</v>
      </c>
      <c r="F36" s="101">
        <v>1</v>
      </c>
      <c r="G36" s="117">
        <f t="shared" si="2"/>
        <v>150</v>
      </c>
      <c r="H36" s="117">
        <f t="shared" si="3"/>
        <v>12.5</v>
      </c>
    </row>
    <row r="37" ht="60" spans="1:8">
      <c r="A37" s="114">
        <v>12</v>
      </c>
      <c r="B37" s="101" t="s">
        <v>285</v>
      </c>
      <c r="C37" s="119" t="s">
        <v>286</v>
      </c>
      <c r="D37" s="101" t="s">
        <v>272</v>
      </c>
      <c r="E37" s="116">
        <v>4.65</v>
      </c>
      <c r="F37" s="101">
        <v>6</v>
      </c>
      <c r="G37" s="117">
        <f t="shared" si="2"/>
        <v>27.9</v>
      </c>
      <c r="H37" s="117">
        <f t="shared" si="3"/>
        <v>2.32</v>
      </c>
    </row>
    <row r="38" ht="75" spans="1:8">
      <c r="A38" s="114">
        <v>13</v>
      </c>
      <c r="B38" s="101" t="s">
        <v>287</v>
      </c>
      <c r="C38" s="119" t="s">
        <v>288</v>
      </c>
      <c r="D38" s="101" t="s">
        <v>264</v>
      </c>
      <c r="E38" s="116">
        <v>5.13</v>
      </c>
      <c r="F38" s="101">
        <v>2</v>
      </c>
      <c r="G38" s="117">
        <f t="shared" si="2"/>
        <v>10.26</v>
      </c>
      <c r="H38" s="117">
        <f t="shared" si="3"/>
        <v>0.85</v>
      </c>
    </row>
    <row r="39" ht="45" spans="1:8">
      <c r="A39" s="114">
        <v>14</v>
      </c>
      <c r="B39" s="101" t="s">
        <v>289</v>
      </c>
      <c r="C39" s="119" t="s">
        <v>290</v>
      </c>
      <c r="D39" s="101" t="s">
        <v>264</v>
      </c>
      <c r="E39" s="116">
        <v>4.15</v>
      </c>
      <c r="F39" s="101">
        <v>4</v>
      </c>
      <c r="G39" s="117">
        <f t="shared" si="2"/>
        <v>16.6</v>
      </c>
      <c r="H39" s="117">
        <f t="shared" si="3"/>
        <v>1.38</v>
      </c>
    </row>
    <row r="40" ht="30" spans="1:8">
      <c r="A40" s="114">
        <v>15</v>
      </c>
      <c r="B40" s="101" t="s">
        <v>291</v>
      </c>
      <c r="C40" s="119" t="s">
        <v>292</v>
      </c>
      <c r="D40" s="101" t="s">
        <v>264</v>
      </c>
      <c r="E40" s="116">
        <v>21.27</v>
      </c>
      <c r="F40" s="101">
        <v>4</v>
      </c>
      <c r="G40" s="117">
        <f t="shared" si="2"/>
        <v>85.08</v>
      </c>
      <c r="H40" s="117">
        <f t="shared" si="3"/>
        <v>7.09</v>
      </c>
    </row>
    <row r="41" ht="105" spans="1:8">
      <c r="A41" s="114">
        <v>16</v>
      </c>
      <c r="B41" s="101" t="s">
        <v>293</v>
      </c>
      <c r="C41" s="119" t="s">
        <v>294</v>
      </c>
      <c r="D41" s="101" t="s">
        <v>264</v>
      </c>
      <c r="E41" s="116">
        <v>1.6</v>
      </c>
      <c r="F41" s="101">
        <v>12</v>
      </c>
      <c r="G41" s="117">
        <f t="shared" si="2"/>
        <v>19.2</v>
      </c>
      <c r="H41" s="117">
        <f t="shared" si="3"/>
        <v>1.6</v>
      </c>
    </row>
    <row r="42" spans="1:8">
      <c r="A42" s="78" t="s">
        <v>204</v>
      </c>
      <c r="B42" s="78"/>
      <c r="C42" s="78"/>
      <c r="D42" s="78"/>
      <c r="E42" s="78"/>
      <c r="F42" s="78"/>
      <c r="G42" s="79">
        <f>TRUNC(SUM(H26:H41),2)</f>
        <v>125.07</v>
      </c>
      <c r="H42" s="79"/>
    </row>
    <row r="45" spans="1:8">
      <c r="A45" s="107" t="s">
        <v>252</v>
      </c>
      <c r="B45" s="108"/>
      <c r="C45" s="107"/>
      <c r="D45" s="109"/>
      <c r="E45" s="107"/>
      <c r="F45" s="107"/>
      <c r="G45" s="107"/>
      <c r="H45" s="107"/>
    </row>
    <row r="46" spans="1:8">
      <c r="A46" s="110" t="s">
        <v>301</v>
      </c>
      <c r="B46" s="111"/>
      <c r="C46" s="110"/>
      <c r="D46" s="112"/>
      <c r="E46" s="110"/>
      <c r="F46" s="110"/>
      <c r="G46" s="110"/>
      <c r="H46" s="110"/>
    </row>
    <row r="47" ht="60" spans="1:8">
      <c r="A47" s="113" t="s">
        <v>254</v>
      </c>
      <c r="B47" s="113" t="s">
        <v>255</v>
      </c>
      <c r="C47" s="113" t="s">
        <v>256</v>
      </c>
      <c r="D47" s="113" t="s">
        <v>257</v>
      </c>
      <c r="E47" s="113" t="s">
        <v>258</v>
      </c>
      <c r="F47" s="113" t="s">
        <v>259</v>
      </c>
      <c r="G47" s="113" t="s">
        <v>260</v>
      </c>
      <c r="H47" s="113" t="s">
        <v>261</v>
      </c>
    </row>
    <row r="48" ht="60" spans="1:8">
      <c r="A48" s="114">
        <v>1</v>
      </c>
      <c r="B48" s="101" t="s">
        <v>262</v>
      </c>
      <c r="C48" s="119" t="s">
        <v>263</v>
      </c>
      <c r="D48" s="101" t="s">
        <v>264</v>
      </c>
      <c r="E48" s="116">
        <v>69.85</v>
      </c>
      <c r="F48" s="101">
        <v>4</v>
      </c>
      <c r="G48" s="117">
        <f>TRUNC(F48*E48,2)</f>
        <v>279.4</v>
      </c>
      <c r="H48" s="117">
        <f>TRUNC(G48/12,2)</f>
        <v>23.28</v>
      </c>
    </row>
    <row r="49" ht="60" spans="1:8">
      <c r="A49" s="114">
        <v>2</v>
      </c>
      <c r="B49" s="101" t="s">
        <v>265</v>
      </c>
      <c r="C49" s="119" t="s">
        <v>266</v>
      </c>
      <c r="D49" s="101" t="s">
        <v>264</v>
      </c>
      <c r="E49" s="116">
        <v>69.14</v>
      </c>
      <c r="F49" s="101">
        <v>4</v>
      </c>
      <c r="G49" s="117">
        <f t="shared" ref="G49:G62" si="4">TRUNC(F49*E49,2)</f>
        <v>276.56</v>
      </c>
      <c r="H49" s="117">
        <f t="shared" ref="H49:H62" si="5">TRUNC(G49/12,2)</f>
        <v>23.04</v>
      </c>
    </row>
    <row r="50" ht="60" spans="1:8">
      <c r="A50" s="114">
        <v>3</v>
      </c>
      <c r="B50" s="101" t="s">
        <v>265</v>
      </c>
      <c r="C50" s="120" t="s">
        <v>267</v>
      </c>
      <c r="D50" s="101" t="s">
        <v>264</v>
      </c>
      <c r="E50" s="116">
        <v>39.15</v>
      </c>
      <c r="F50" s="101">
        <v>4</v>
      </c>
      <c r="G50" s="117">
        <f t="shared" si="4"/>
        <v>156.6</v>
      </c>
      <c r="H50" s="117">
        <f t="shared" si="5"/>
        <v>13.05</v>
      </c>
    </row>
    <row r="51" ht="30" spans="1:8">
      <c r="A51" s="114">
        <v>4</v>
      </c>
      <c r="B51" s="118" t="s">
        <v>268</v>
      </c>
      <c r="C51" s="119" t="s">
        <v>269</v>
      </c>
      <c r="D51" s="101" t="s">
        <v>264</v>
      </c>
      <c r="E51" s="116">
        <v>17.62</v>
      </c>
      <c r="F51" s="101">
        <v>2</v>
      </c>
      <c r="G51" s="117">
        <f t="shared" si="4"/>
        <v>35.24</v>
      </c>
      <c r="H51" s="117">
        <f t="shared" si="5"/>
        <v>2.93</v>
      </c>
    </row>
    <row r="52" ht="90" spans="1:8">
      <c r="A52" s="114">
        <v>5</v>
      </c>
      <c r="B52" s="118" t="s">
        <v>270</v>
      </c>
      <c r="C52" s="119" t="s">
        <v>271</v>
      </c>
      <c r="D52" s="101" t="s">
        <v>272</v>
      </c>
      <c r="E52" s="116">
        <v>31</v>
      </c>
      <c r="F52" s="101">
        <v>2</v>
      </c>
      <c r="G52" s="117">
        <f t="shared" si="4"/>
        <v>62</v>
      </c>
      <c r="H52" s="117">
        <f t="shared" si="5"/>
        <v>5.16</v>
      </c>
    </row>
    <row r="53" ht="60" spans="1:8">
      <c r="A53" s="114">
        <v>6</v>
      </c>
      <c r="B53" s="101" t="s">
        <v>273</v>
      </c>
      <c r="C53" s="119" t="s">
        <v>274</v>
      </c>
      <c r="D53" s="101" t="s">
        <v>272</v>
      </c>
      <c r="E53" s="116">
        <v>51</v>
      </c>
      <c r="F53" s="101">
        <v>2</v>
      </c>
      <c r="G53" s="117">
        <f t="shared" si="4"/>
        <v>102</v>
      </c>
      <c r="H53" s="117">
        <f t="shared" si="5"/>
        <v>8.5</v>
      </c>
    </row>
    <row r="54" ht="45" spans="1:8">
      <c r="A54" s="114">
        <v>7</v>
      </c>
      <c r="B54" s="101" t="s">
        <v>276</v>
      </c>
      <c r="C54" s="119" t="s">
        <v>277</v>
      </c>
      <c r="D54" s="101" t="s">
        <v>272</v>
      </c>
      <c r="E54" s="116">
        <v>11.47</v>
      </c>
      <c r="F54" s="101">
        <v>4</v>
      </c>
      <c r="G54" s="117">
        <f t="shared" si="4"/>
        <v>45.88</v>
      </c>
      <c r="H54" s="117">
        <f t="shared" si="5"/>
        <v>3.82</v>
      </c>
    </row>
    <row r="55" ht="45" spans="1:8">
      <c r="A55" s="114">
        <v>8</v>
      </c>
      <c r="B55" s="101" t="s">
        <v>278</v>
      </c>
      <c r="C55" s="119" t="s">
        <v>279</v>
      </c>
      <c r="D55" s="101" t="s">
        <v>264</v>
      </c>
      <c r="E55" s="116">
        <v>12.65</v>
      </c>
      <c r="F55" s="101">
        <v>1</v>
      </c>
      <c r="G55" s="117">
        <f t="shared" si="4"/>
        <v>12.65</v>
      </c>
      <c r="H55" s="117">
        <f t="shared" si="5"/>
        <v>1.05</v>
      </c>
    </row>
    <row r="56" ht="60" spans="1:8">
      <c r="A56" s="114">
        <v>9</v>
      </c>
      <c r="B56" s="101" t="s">
        <v>280</v>
      </c>
      <c r="C56" s="119" t="s">
        <v>281</v>
      </c>
      <c r="D56" s="101" t="s">
        <v>264</v>
      </c>
      <c r="E56" s="116">
        <v>19.88</v>
      </c>
      <c r="F56" s="101">
        <v>1</v>
      </c>
      <c r="G56" s="117">
        <f t="shared" si="4"/>
        <v>19.88</v>
      </c>
      <c r="H56" s="117">
        <f t="shared" si="5"/>
        <v>1.65</v>
      </c>
    </row>
    <row r="57" ht="60" spans="1:8">
      <c r="A57" s="114">
        <v>10</v>
      </c>
      <c r="B57" s="101" t="s">
        <v>282</v>
      </c>
      <c r="C57" s="119" t="s">
        <v>283</v>
      </c>
      <c r="D57" s="101" t="s">
        <v>284</v>
      </c>
      <c r="E57" s="116">
        <v>150</v>
      </c>
      <c r="F57" s="101">
        <v>1</v>
      </c>
      <c r="G57" s="117">
        <f t="shared" si="4"/>
        <v>150</v>
      </c>
      <c r="H57" s="117">
        <f t="shared" si="5"/>
        <v>12.5</v>
      </c>
    </row>
    <row r="58" ht="60" spans="1:8">
      <c r="A58" s="114">
        <v>11</v>
      </c>
      <c r="B58" s="101" t="s">
        <v>285</v>
      </c>
      <c r="C58" s="119" t="s">
        <v>286</v>
      </c>
      <c r="D58" s="101" t="s">
        <v>272</v>
      </c>
      <c r="E58" s="116">
        <v>4.65</v>
      </c>
      <c r="F58" s="101">
        <v>6</v>
      </c>
      <c r="G58" s="117">
        <f t="shared" si="4"/>
        <v>27.9</v>
      </c>
      <c r="H58" s="117">
        <f t="shared" si="5"/>
        <v>2.32</v>
      </c>
    </row>
    <row r="59" ht="75" spans="1:8">
      <c r="A59" s="114">
        <v>12</v>
      </c>
      <c r="B59" s="101" t="s">
        <v>287</v>
      </c>
      <c r="C59" s="119" t="s">
        <v>288</v>
      </c>
      <c r="D59" s="101" t="s">
        <v>264</v>
      </c>
      <c r="E59" s="116">
        <v>5.13</v>
      </c>
      <c r="F59" s="101">
        <v>2</v>
      </c>
      <c r="G59" s="117">
        <f t="shared" si="4"/>
        <v>10.26</v>
      </c>
      <c r="H59" s="117">
        <f t="shared" si="5"/>
        <v>0.85</v>
      </c>
    </row>
    <row r="60" ht="45" spans="1:8">
      <c r="A60" s="114">
        <v>13</v>
      </c>
      <c r="B60" s="101" t="s">
        <v>289</v>
      </c>
      <c r="C60" s="119" t="s">
        <v>290</v>
      </c>
      <c r="D60" s="101" t="s">
        <v>264</v>
      </c>
      <c r="E60" s="116">
        <v>4.15</v>
      </c>
      <c r="F60" s="101">
        <v>4</v>
      </c>
      <c r="G60" s="117">
        <f t="shared" si="4"/>
        <v>16.6</v>
      </c>
      <c r="H60" s="117">
        <f t="shared" si="5"/>
        <v>1.38</v>
      </c>
    </row>
    <row r="61" ht="30" spans="1:8">
      <c r="A61" s="114">
        <v>14</v>
      </c>
      <c r="B61" s="101" t="s">
        <v>291</v>
      </c>
      <c r="C61" s="119" t="s">
        <v>292</v>
      </c>
      <c r="D61" s="101" t="s">
        <v>264</v>
      </c>
      <c r="E61" s="116">
        <v>21.27</v>
      </c>
      <c r="F61" s="101">
        <v>4</v>
      </c>
      <c r="G61" s="117">
        <f t="shared" si="4"/>
        <v>85.08</v>
      </c>
      <c r="H61" s="117">
        <f t="shared" si="5"/>
        <v>7.09</v>
      </c>
    </row>
    <row r="62" ht="105" spans="1:8">
      <c r="A62" s="114">
        <v>15</v>
      </c>
      <c r="B62" s="101" t="s">
        <v>293</v>
      </c>
      <c r="C62" s="119" t="s">
        <v>294</v>
      </c>
      <c r="D62" s="101" t="s">
        <v>264</v>
      </c>
      <c r="E62" s="116">
        <v>1.6</v>
      </c>
      <c r="F62" s="101">
        <v>24</v>
      </c>
      <c r="G62" s="117">
        <f t="shared" si="4"/>
        <v>38.4</v>
      </c>
      <c r="H62" s="117">
        <f t="shared" si="5"/>
        <v>3.2</v>
      </c>
    </row>
    <row r="63" spans="1:8">
      <c r="A63" s="78" t="s">
        <v>204</v>
      </c>
      <c r="B63" s="78"/>
      <c r="C63" s="78"/>
      <c r="D63" s="78"/>
      <c r="E63" s="78"/>
      <c r="F63" s="78"/>
      <c r="G63" s="79">
        <f>TRUNC(SUM(H48:H62),2)</f>
        <v>109.82</v>
      </c>
      <c r="H63" s="79"/>
    </row>
    <row r="66" spans="1:8">
      <c r="A66" s="107" t="s">
        <v>252</v>
      </c>
      <c r="B66" s="108"/>
      <c r="C66" s="107"/>
      <c r="D66" s="109"/>
      <c r="E66" s="107"/>
      <c r="F66" s="107"/>
      <c r="G66" s="107"/>
      <c r="H66" s="107"/>
    </row>
    <row r="67" spans="1:8">
      <c r="A67" s="110" t="s">
        <v>302</v>
      </c>
      <c r="B67" s="111"/>
      <c r="C67" s="110"/>
      <c r="D67" s="112"/>
      <c r="E67" s="110"/>
      <c r="F67" s="110"/>
      <c r="G67" s="110"/>
      <c r="H67" s="110"/>
    </row>
    <row r="68" ht="60" spans="1:8">
      <c r="A68" s="113" t="s">
        <v>254</v>
      </c>
      <c r="B68" s="113" t="s">
        <v>255</v>
      </c>
      <c r="C68" s="113" t="s">
        <v>256</v>
      </c>
      <c r="D68" s="113" t="s">
        <v>257</v>
      </c>
      <c r="E68" s="113" t="s">
        <v>258</v>
      </c>
      <c r="F68" s="113" t="s">
        <v>259</v>
      </c>
      <c r="G68" s="113" t="s">
        <v>260</v>
      </c>
      <c r="H68" s="113" t="s">
        <v>261</v>
      </c>
    </row>
    <row r="69" ht="60" spans="1:8">
      <c r="A69" s="114">
        <v>1</v>
      </c>
      <c r="B69" s="101" t="s">
        <v>262</v>
      </c>
      <c r="C69" s="119" t="s">
        <v>263</v>
      </c>
      <c r="D69" s="101" t="s">
        <v>264</v>
      </c>
      <c r="E69" s="116">
        <v>69.85</v>
      </c>
      <c r="F69" s="101">
        <v>4</v>
      </c>
      <c r="G69" s="117">
        <f t="shared" ref="G69:G83" si="6">TRUNC(F69*E69,2)</f>
        <v>279.4</v>
      </c>
      <c r="H69" s="117">
        <f t="shared" ref="H69:H83" si="7">TRUNC(G69/12,2)</f>
        <v>23.28</v>
      </c>
    </row>
    <row r="70" ht="60" spans="1:8">
      <c r="A70" s="114">
        <v>2</v>
      </c>
      <c r="B70" s="101" t="s">
        <v>265</v>
      </c>
      <c r="C70" s="119" t="s">
        <v>266</v>
      </c>
      <c r="D70" s="101" t="s">
        <v>264</v>
      </c>
      <c r="E70" s="116">
        <v>69.14</v>
      </c>
      <c r="F70" s="101">
        <v>4</v>
      </c>
      <c r="G70" s="117">
        <f t="shared" si="6"/>
        <v>276.56</v>
      </c>
      <c r="H70" s="117">
        <f t="shared" si="7"/>
        <v>23.04</v>
      </c>
    </row>
    <row r="71" ht="60" spans="1:8">
      <c r="A71" s="114">
        <v>3</v>
      </c>
      <c r="B71" s="101" t="s">
        <v>265</v>
      </c>
      <c r="C71" s="120" t="s">
        <v>267</v>
      </c>
      <c r="D71" s="101" t="s">
        <v>264</v>
      </c>
      <c r="E71" s="116">
        <v>39.15</v>
      </c>
      <c r="F71" s="101">
        <v>4</v>
      </c>
      <c r="G71" s="117">
        <f t="shared" si="6"/>
        <v>156.6</v>
      </c>
      <c r="H71" s="117">
        <f t="shared" si="7"/>
        <v>13.05</v>
      </c>
    </row>
    <row r="72" ht="30" spans="1:8">
      <c r="A72" s="114">
        <v>4</v>
      </c>
      <c r="B72" s="118" t="s">
        <v>268</v>
      </c>
      <c r="C72" s="119" t="s">
        <v>269</v>
      </c>
      <c r="D72" s="101" t="s">
        <v>264</v>
      </c>
      <c r="E72" s="116">
        <v>17.62</v>
      </c>
      <c r="F72" s="101">
        <v>2</v>
      </c>
      <c r="G72" s="117">
        <f t="shared" si="6"/>
        <v>35.24</v>
      </c>
      <c r="H72" s="117">
        <f t="shared" si="7"/>
        <v>2.93</v>
      </c>
    </row>
    <row r="73" ht="90" spans="1:8">
      <c r="A73" s="114">
        <v>5</v>
      </c>
      <c r="B73" s="118" t="s">
        <v>270</v>
      </c>
      <c r="C73" s="119" t="s">
        <v>271</v>
      </c>
      <c r="D73" s="101" t="s">
        <v>272</v>
      </c>
      <c r="E73" s="116">
        <v>31</v>
      </c>
      <c r="F73" s="101">
        <v>2</v>
      </c>
      <c r="G73" s="117">
        <f t="shared" si="6"/>
        <v>62</v>
      </c>
      <c r="H73" s="117">
        <f t="shared" si="7"/>
        <v>5.16</v>
      </c>
    </row>
    <row r="74" ht="60" spans="1:8">
      <c r="A74" s="114">
        <v>6</v>
      </c>
      <c r="B74" s="101" t="s">
        <v>273</v>
      </c>
      <c r="C74" s="119" t="s">
        <v>274</v>
      </c>
      <c r="D74" s="101" t="s">
        <v>272</v>
      </c>
      <c r="E74" s="116">
        <v>51</v>
      </c>
      <c r="F74" s="101">
        <v>2</v>
      </c>
      <c r="G74" s="117">
        <f t="shared" si="6"/>
        <v>102</v>
      </c>
      <c r="H74" s="117">
        <f t="shared" si="7"/>
        <v>8.5</v>
      </c>
    </row>
    <row r="75" ht="45" spans="1:8">
      <c r="A75" s="114">
        <v>7</v>
      </c>
      <c r="B75" s="101" t="s">
        <v>276</v>
      </c>
      <c r="C75" s="119" t="s">
        <v>277</v>
      </c>
      <c r="D75" s="101" t="s">
        <v>272</v>
      </c>
      <c r="E75" s="116">
        <v>11.47</v>
      </c>
      <c r="F75" s="101">
        <v>4</v>
      </c>
      <c r="G75" s="117">
        <f t="shared" si="6"/>
        <v>45.88</v>
      </c>
      <c r="H75" s="117">
        <f t="shared" si="7"/>
        <v>3.82</v>
      </c>
    </row>
    <row r="76" ht="45" spans="1:8">
      <c r="A76" s="114">
        <v>8</v>
      </c>
      <c r="B76" s="101" t="s">
        <v>278</v>
      </c>
      <c r="C76" s="119" t="s">
        <v>279</v>
      </c>
      <c r="D76" s="101" t="s">
        <v>264</v>
      </c>
      <c r="E76" s="116">
        <v>12.65</v>
      </c>
      <c r="F76" s="101">
        <v>1</v>
      </c>
      <c r="G76" s="117">
        <f t="shared" si="6"/>
        <v>12.65</v>
      </c>
      <c r="H76" s="117">
        <f t="shared" si="7"/>
        <v>1.05</v>
      </c>
    </row>
    <row r="77" ht="60" spans="1:8">
      <c r="A77" s="114">
        <v>9</v>
      </c>
      <c r="B77" s="101" t="s">
        <v>280</v>
      </c>
      <c r="C77" s="119" t="s">
        <v>281</v>
      </c>
      <c r="D77" s="101" t="s">
        <v>264</v>
      </c>
      <c r="E77" s="116">
        <v>19.88</v>
      </c>
      <c r="F77" s="101">
        <v>1</v>
      </c>
      <c r="G77" s="117">
        <f t="shared" si="6"/>
        <v>19.88</v>
      </c>
      <c r="H77" s="117">
        <f t="shared" si="7"/>
        <v>1.65</v>
      </c>
    </row>
    <row r="78" ht="60" spans="1:8">
      <c r="A78" s="114">
        <v>10</v>
      </c>
      <c r="B78" s="101" t="s">
        <v>282</v>
      </c>
      <c r="C78" s="119" t="s">
        <v>283</v>
      </c>
      <c r="D78" s="101" t="s">
        <v>284</v>
      </c>
      <c r="E78" s="116">
        <v>150</v>
      </c>
      <c r="F78" s="101">
        <v>1</v>
      </c>
      <c r="G78" s="117">
        <f t="shared" si="6"/>
        <v>150</v>
      </c>
      <c r="H78" s="117">
        <f t="shared" si="7"/>
        <v>12.5</v>
      </c>
    </row>
    <row r="79" ht="60" spans="1:8">
      <c r="A79" s="114">
        <v>11</v>
      </c>
      <c r="B79" s="101" t="s">
        <v>285</v>
      </c>
      <c r="C79" s="119" t="s">
        <v>286</v>
      </c>
      <c r="D79" s="101" t="s">
        <v>272</v>
      </c>
      <c r="E79" s="116">
        <v>4.65</v>
      </c>
      <c r="F79" s="101">
        <v>6</v>
      </c>
      <c r="G79" s="117">
        <f t="shared" si="6"/>
        <v>27.9</v>
      </c>
      <c r="H79" s="117">
        <f t="shared" si="7"/>
        <v>2.32</v>
      </c>
    </row>
    <row r="80" ht="75" spans="1:8">
      <c r="A80" s="114">
        <v>12</v>
      </c>
      <c r="B80" s="101" t="s">
        <v>287</v>
      </c>
      <c r="C80" s="119" t="s">
        <v>288</v>
      </c>
      <c r="D80" s="101" t="s">
        <v>264</v>
      </c>
      <c r="E80" s="116">
        <v>5.13</v>
      </c>
      <c r="F80" s="101">
        <v>2</v>
      </c>
      <c r="G80" s="117">
        <f t="shared" si="6"/>
        <v>10.26</v>
      </c>
      <c r="H80" s="117">
        <f t="shared" si="7"/>
        <v>0.85</v>
      </c>
    </row>
    <row r="81" ht="120" spans="1:8">
      <c r="A81" s="114">
        <v>13</v>
      </c>
      <c r="B81" s="101" t="s">
        <v>289</v>
      </c>
      <c r="C81" s="119" t="s">
        <v>303</v>
      </c>
      <c r="D81" s="101" t="s">
        <v>264</v>
      </c>
      <c r="E81" s="116">
        <v>23.57</v>
      </c>
      <c r="F81" s="101">
        <v>2</v>
      </c>
      <c r="G81" s="117">
        <f t="shared" si="6"/>
        <v>47.14</v>
      </c>
      <c r="H81" s="117">
        <f t="shared" si="7"/>
        <v>3.92</v>
      </c>
    </row>
    <row r="82" ht="30" spans="1:8">
      <c r="A82" s="114">
        <v>14</v>
      </c>
      <c r="B82" s="101" t="s">
        <v>291</v>
      </c>
      <c r="C82" s="119" t="s">
        <v>292</v>
      </c>
      <c r="D82" s="101" t="s">
        <v>264</v>
      </c>
      <c r="E82" s="116">
        <v>21.27</v>
      </c>
      <c r="F82" s="101">
        <v>4</v>
      </c>
      <c r="G82" s="117">
        <f t="shared" si="6"/>
        <v>85.08</v>
      </c>
      <c r="H82" s="117">
        <f t="shared" si="7"/>
        <v>7.09</v>
      </c>
    </row>
    <row r="83" ht="105" spans="1:8">
      <c r="A83" s="114">
        <v>15</v>
      </c>
      <c r="B83" s="101" t="s">
        <v>293</v>
      </c>
      <c r="C83" s="119" t="s">
        <v>294</v>
      </c>
      <c r="D83" s="101" t="s">
        <v>264</v>
      </c>
      <c r="E83" s="116">
        <v>1.6</v>
      </c>
      <c r="F83" s="101">
        <v>24</v>
      </c>
      <c r="G83" s="117">
        <f t="shared" si="6"/>
        <v>38.4</v>
      </c>
      <c r="H83" s="117">
        <f t="shared" si="7"/>
        <v>3.2</v>
      </c>
    </row>
    <row r="84" spans="1:8">
      <c r="A84" s="78" t="s">
        <v>204</v>
      </c>
      <c r="B84" s="78"/>
      <c r="C84" s="78"/>
      <c r="D84" s="78"/>
      <c r="E84" s="78"/>
      <c r="F84" s="78"/>
      <c r="G84" s="79">
        <f>TRUNC(SUM(H69:H83),2)</f>
        <v>112.36</v>
      </c>
      <c r="H84" s="79"/>
    </row>
    <row r="87" spans="1:8">
      <c r="A87" s="107" t="s">
        <v>252</v>
      </c>
      <c r="B87" s="108"/>
      <c r="C87" s="107"/>
      <c r="D87" s="109"/>
      <c r="E87" s="107"/>
      <c r="F87" s="107"/>
      <c r="G87" s="107"/>
      <c r="H87" s="107"/>
    </row>
    <row r="88" spans="1:8">
      <c r="A88" s="110" t="s">
        <v>304</v>
      </c>
      <c r="B88" s="111"/>
      <c r="C88" s="110"/>
      <c r="D88" s="112"/>
      <c r="E88" s="110"/>
      <c r="F88" s="110"/>
      <c r="G88" s="110"/>
      <c r="H88" s="110"/>
    </row>
    <row r="89" ht="60" spans="1:8">
      <c r="A89" s="113" t="s">
        <v>254</v>
      </c>
      <c r="B89" s="113" t="s">
        <v>255</v>
      </c>
      <c r="C89" s="113" t="s">
        <v>256</v>
      </c>
      <c r="D89" s="113" t="s">
        <v>257</v>
      </c>
      <c r="E89" s="113" t="s">
        <v>258</v>
      </c>
      <c r="F89" s="113" t="s">
        <v>259</v>
      </c>
      <c r="G89" s="113" t="s">
        <v>260</v>
      </c>
      <c r="H89" s="113" t="s">
        <v>261</v>
      </c>
    </row>
    <row r="90" ht="60" spans="1:8">
      <c r="A90" s="114">
        <v>1</v>
      </c>
      <c r="B90" s="101" t="s">
        <v>262</v>
      </c>
      <c r="C90" s="119" t="s">
        <v>263</v>
      </c>
      <c r="D90" s="101" t="s">
        <v>264</v>
      </c>
      <c r="E90" s="116">
        <v>69.85</v>
      </c>
      <c r="F90" s="101">
        <v>4</v>
      </c>
      <c r="G90" s="117">
        <f>TRUNC(F90*E90,2)</f>
        <v>279.4</v>
      </c>
      <c r="H90" s="117">
        <f>TRUNC(G90/12,2)</f>
        <v>23.28</v>
      </c>
    </row>
    <row r="91" ht="60" spans="1:8">
      <c r="A91" s="114">
        <v>2</v>
      </c>
      <c r="B91" s="101" t="s">
        <v>265</v>
      </c>
      <c r="C91" s="119" t="s">
        <v>266</v>
      </c>
      <c r="D91" s="101" t="s">
        <v>264</v>
      </c>
      <c r="E91" s="116">
        <v>69.14</v>
      </c>
      <c r="F91" s="101">
        <v>4</v>
      </c>
      <c r="G91" s="117">
        <f t="shared" ref="G91:G104" si="8">TRUNC(F91*E91,2)</f>
        <v>276.56</v>
      </c>
      <c r="H91" s="117">
        <f t="shared" ref="H91:H104" si="9">TRUNC(G91/12,2)</f>
        <v>23.04</v>
      </c>
    </row>
    <row r="92" ht="60" spans="1:8">
      <c r="A92" s="114">
        <v>3</v>
      </c>
      <c r="B92" s="101" t="s">
        <v>265</v>
      </c>
      <c r="C92" s="120" t="s">
        <v>267</v>
      </c>
      <c r="D92" s="101" t="s">
        <v>264</v>
      </c>
      <c r="E92" s="116">
        <v>39.15</v>
      </c>
      <c r="F92" s="101">
        <v>4</v>
      </c>
      <c r="G92" s="117">
        <f t="shared" si="8"/>
        <v>156.6</v>
      </c>
      <c r="H92" s="117">
        <f t="shared" si="9"/>
        <v>13.05</v>
      </c>
    </row>
    <row r="93" ht="30" spans="1:8">
      <c r="A93" s="114">
        <v>4</v>
      </c>
      <c r="B93" s="118" t="s">
        <v>268</v>
      </c>
      <c r="C93" s="119" t="s">
        <v>269</v>
      </c>
      <c r="D93" s="101" t="s">
        <v>264</v>
      </c>
      <c r="E93" s="116">
        <v>17.62</v>
      </c>
      <c r="F93" s="101">
        <v>2</v>
      </c>
      <c r="G93" s="117">
        <f t="shared" si="8"/>
        <v>35.24</v>
      </c>
      <c r="H93" s="117">
        <f t="shared" si="9"/>
        <v>2.93</v>
      </c>
    </row>
    <row r="94" ht="90" spans="1:8">
      <c r="A94" s="114">
        <v>5</v>
      </c>
      <c r="B94" s="118" t="s">
        <v>270</v>
      </c>
      <c r="C94" s="119" t="s">
        <v>271</v>
      </c>
      <c r="D94" s="101" t="s">
        <v>272</v>
      </c>
      <c r="E94" s="116">
        <v>31</v>
      </c>
      <c r="F94" s="101">
        <v>2</v>
      </c>
      <c r="G94" s="117">
        <f t="shared" si="8"/>
        <v>62</v>
      </c>
      <c r="H94" s="117">
        <f t="shared" si="9"/>
        <v>5.16</v>
      </c>
    </row>
    <row r="95" ht="105" spans="1:8">
      <c r="A95" s="114">
        <v>6</v>
      </c>
      <c r="B95" s="101" t="s">
        <v>273</v>
      </c>
      <c r="C95" s="119" t="s">
        <v>298</v>
      </c>
      <c r="D95" s="101" t="s">
        <v>272</v>
      </c>
      <c r="E95" s="116">
        <v>59.35</v>
      </c>
      <c r="F95" s="101">
        <v>2</v>
      </c>
      <c r="G95" s="117">
        <f t="shared" si="8"/>
        <v>118.7</v>
      </c>
      <c r="H95" s="117">
        <f t="shared" si="9"/>
        <v>9.89</v>
      </c>
    </row>
    <row r="96" ht="45" spans="1:8">
      <c r="A96" s="114">
        <v>7</v>
      </c>
      <c r="B96" s="101" t="s">
        <v>276</v>
      </c>
      <c r="C96" s="119" t="s">
        <v>277</v>
      </c>
      <c r="D96" s="101" t="s">
        <v>272</v>
      </c>
      <c r="E96" s="116">
        <v>11.47</v>
      </c>
      <c r="F96" s="101">
        <v>4</v>
      </c>
      <c r="G96" s="117">
        <f t="shared" si="8"/>
        <v>45.88</v>
      </c>
      <c r="H96" s="117">
        <f t="shared" si="9"/>
        <v>3.82</v>
      </c>
    </row>
    <row r="97" ht="45" spans="1:8">
      <c r="A97" s="114">
        <v>8</v>
      </c>
      <c r="B97" s="101" t="s">
        <v>278</v>
      </c>
      <c r="C97" s="119" t="s">
        <v>279</v>
      </c>
      <c r="D97" s="101" t="s">
        <v>264</v>
      </c>
      <c r="E97" s="116">
        <v>12.65</v>
      </c>
      <c r="F97" s="101">
        <v>1</v>
      </c>
      <c r="G97" s="117">
        <f t="shared" si="8"/>
        <v>12.65</v>
      </c>
      <c r="H97" s="117">
        <f t="shared" si="9"/>
        <v>1.05</v>
      </c>
    </row>
    <row r="98" ht="60" spans="1:8">
      <c r="A98" s="114">
        <v>9</v>
      </c>
      <c r="B98" s="101" t="s">
        <v>280</v>
      </c>
      <c r="C98" s="119" t="s">
        <v>281</v>
      </c>
      <c r="D98" s="101" t="s">
        <v>264</v>
      </c>
      <c r="E98" s="116">
        <v>19.88</v>
      </c>
      <c r="F98" s="101">
        <v>1</v>
      </c>
      <c r="G98" s="117">
        <f t="shared" si="8"/>
        <v>19.88</v>
      </c>
      <c r="H98" s="117">
        <f t="shared" si="9"/>
        <v>1.65</v>
      </c>
    </row>
    <row r="99" ht="60" spans="1:8">
      <c r="A99" s="114">
        <v>10</v>
      </c>
      <c r="B99" s="101" t="s">
        <v>282</v>
      </c>
      <c r="C99" s="119" t="s">
        <v>283</v>
      </c>
      <c r="D99" s="101" t="s">
        <v>284</v>
      </c>
      <c r="E99" s="116">
        <v>150</v>
      </c>
      <c r="F99" s="101">
        <v>1</v>
      </c>
      <c r="G99" s="117">
        <f t="shared" si="8"/>
        <v>150</v>
      </c>
      <c r="H99" s="117">
        <f t="shared" si="9"/>
        <v>12.5</v>
      </c>
    </row>
    <row r="100" ht="60" spans="1:8">
      <c r="A100" s="114">
        <v>11</v>
      </c>
      <c r="B100" s="101" t="s">
        <v>285</v>
      </c>
      <c r="C100" s="119" t="s">
        <v>286</v>
      </c>
      <c r="D100" s="101" t="s">
        <v>272</v>
      </c>
      <c r="E100" s="116">
        <v>4.65</v>
      </c>
      <c r="F100" s="101">
        <v>6</v>
      </c>
      <c r="G100" s="117">
        <f t="shared" si="8"/>
        <v>27.9</v>
      </c>
      <c r="H100" s="117">
        <f t="shared" si="9"/>
        <v>2.32</v>
      </c>
    </row>
    <row r="101" ht="75" spans="1:8">
      <c r="A101" s="114">
        <v>12</v>
      </c>
      <c r="B101" s="101" t="s">
        <v>287</v>
      </c>
      <c r="C101" s="119" t="s">
        <v>288</v>
      </c>
      <c r="D101" s="101" t="s">
        <v>264</v>
      </c>
      <c r="E101" s="116">
        <v>5.13</v>
      </c>
      <c r="F101" s="101">
        <v>2</v>
      </c>
      <c r="G101" s="117">
        <f t="shared" si="8"/>
        <v>10.26</v>
      </c>
      <c r="H101" s="117">
        <f t="shared" si="9"/>
        <v>0.85</v>
      </c>
    </row>
    <row r="102" ht="45" spans="1:8">
      <c r="A102" s="114">
        <v>13</v>
      </c>
      <c r="B102" s="101" t="s">
        <v>289</v>
      </c>
      <c r="C102" s="119" t="s">
        <v>290</v>
      </c>
      <c r="D102" s="101" t="s">
        <v>264</v>
      </c>
      <c r="E102" s="116">
        <v>4.15</v>
      </c>
      <c r="F102" s="101">
        <v>4</v>
      </c>
      <c r="G102" s="117">
        <f t="shared" si="8"/>
        <v>16.6</v>
      </c>
      <c r="H102" s="117">
        <f t="shared" si="9"/>
        <v>1.38</v>
      </c>
    </row>
    <row r="103" ht="30" spans="1:8">
      <c r="A103" s="114">
        <v>14</v>
      </c>
      <c r="B103" s="101" t="s">
        <v>291</v>
      </c>
      <c r="C103" s="119" t="s">
        <v>292</v>
      </c>
      <c r="D103" s="101" t="s">
        <v>264</v>
      </c>
      <c r="E103" s="116">
        <v>21.27</v>
      </c>
      <c r="F103" s="101">
        <v>4</v>
      </c>
      <c r="G103" s="117">
        <f t="shared" si="8"/>
        <v>85.08</v>
      </c>
      <c r="H103" s="117">
        <f t="shared" si="9"/>
        <v>7.09</v>
      </c>
    </row>
    <row r="104" ht="105" spans="1:8">
      <c r="A104" s="114">
        <v>15</v>
      </c>
      <c r="B104" s="101" t="s">
        <v>293</v>
      </c>
      <c r="C104" s="119" t="s">
        <v>294</v>
      </c>
      <c r="D104" s="101" t="s">
        <v>264</v>
      </c>
      <c r="E104" s="116">
        <v>1.6</v>
      </c>
      <c r="F104" s="101">
        <v>12</v>
      </c>
      <c r="G104" s="117">
        <f t="shared" si="8"/>
        <v>19.2</v>
      </c>
      <c r="H104" s="117">
        <f t="shared" si="9"/>
        <v>1.6</v>
      </c>
    </row>
    <row r="105" spans="1:8">
      <c r="A105" s="78" t="s">
        <v>204</v>
      </c>
      <c r="B105" s="78"/>
      <c r="C105" s="78"/>
      <c r="D105" s="78"/>
      <c r="E105" s="78"/>
      <c r="F105" s="78"/>
      <c r="G105" s="79">
        <f>TRUNC(SUM(H90:H104),2)</f>
        <v>109.61</v>
      </c>
      <c r="H105" s="79"/>
    </row>
    <row r="108" spans="1:8">
      <c r="A108" s="107" t="s">
        <v>252</v>
      </c>
      <c r="B108" s="108"/>
      <c r="C108" s="107"/>
      <c r="D108" s="109"/>
      <c r="E108" s="107"/>
      <c r="F108" s="107"/>
      <c r="G108" s="107"/>
      <c r="H108" s="107"/>
    </row>
    <row r="109" spans="1:8">
      <c r="A109" s="110" t="s">
        <v>305</v>
      </c>
      <c r="B109" s="111"/>
      <c r="C109" s="110"/>
      <c r="D109" s="112"/>
      <c r="E109" s="110"/>
      <c r="F109" s="110"/>
      <c r="G109" s="110"/>
      <c r="H109" s="110"/>
    </row>
    <row r="110" ht="60" spans="1:8">
      <c r="A110" s="113" t="s">
        <v>254</v>
      </c>
      <c r="B110" s="113" t="s">
        <v>255</v>
      </c>
      <c r="C110" s="113" t="s">
        <v>256</v>
      </c>
      <c r="D110" s="113" t="s">
        <v>257</v>
      </c>
      <c r="E110" s="113" t="s">
        <v>258</v>
      </c>
      <c r="F110" s="113" t="s">
        <v>259</v>
      </c>
      <c r="G110" s="113" t="s">
        <v>260</v>
      </c>
      <c r="H110" s="113" t="s">
        <v>261</v>
      </c>
    </row>
    <row r="111" ht="60" spans="1:8">
      <c r="A111" s="114">
        <v>1</v>
      </c>
      <c r="B111" s="101" t="s">
        <v>262</v>
      </c>
      <c r="C111" s="115" t="s">
        <v>263</v>
      </c>
      <c r="D111" s="101" t="s">
        <v>264</v>
      </c>
      <c r="E111" s="116">
        <v>69.85</v>
      </c>
      <c r="F111" s="101">
        <v>4</v>
      </c>
      <c r="G111" s="117">
        <f>TRUNC(F111*E111,2)</f>
        <v>279.4</v>
      </c>
      <c r="H111" s="117">
        <f>TRUNC(G111/12,2)</f>
        <v>23.28</v>
      </c>
    </row>
    <row r="112" ht="60" spans="1:8">
      <c r="A112" s="114">
        <v>2</v>
      </c>
      <c r="B112" s="101" t="s">
        <v>265</v>
      </c>
      <c r="C112" s="115" t="s">
        <v>266</v>
      </c>
      <c r="D112" s="101" t="s">
        <v>264</v>
      </c>
      <c r="E112" s="116">
        <v>69.14</v>
      </c>
      <c r="F112" s="101">
        <v>4</v>
      </c>
      <c r="G112" s="117">
        <f t="shared" ref="G112:G126" si="10">TRUNC(F112*E112,2)</f>
        <v>276.56</v>
      </c>
      <c r="H112" s="117">
        <f t="shared" ref="H112:H126" si="11">TRUNC(G112/12,2)</f>
        <v>23.04</v>
      </c>
    </row>
    <row r="113" ht="60" spans="1:8">
      <c r="A113" s="114">
        <v>3</v>
      </c>
      <c r="B113" s="101" t="s">
        <v>265</v>
      </c>
      <c r="C113" s="115" t="s">
        <v>267</v>
      </c>
      <c r="D113" s="101" t="s">
        <v>264</v>
      </c>
      <c r="E113" s="116">
        <v>39.15</v>
      </c>
      <c r="F113" s="101">
        <v>4</v>
      </c>
      <c r="G113" s="117">
        <f t="shared" si="10"/>
        <v>156.6</v>
      </c>
      <c r="H113" s="117">
        <f t="shared" si="11"/>
        <v>13.05</v>
      </c>
    </row>
    <row r="114" ht="30" spans="1:8">
      <c r="A114" s="114">
        <v>4</v>
      </c>
      <c r="B114" s="118" t="s">
        <v>268</v>
      </c>
      <c r="C114" s="115" t="s">
        <v>269</v>
      </c>
      <c r="D114" s="101" t="s">
        <v>264</v>
      </c>
      <c r="E114" s="116">
        <v>17.62</v>
      </c>
      <c r="F114" s="101">
        <v>2</v>
      </c>
      <c r="G114" s="117">
        <f t="shared" si="10"/>
        <v>35.24</v>
      </c>
      <c r="H114" s="117">
        <f t="shared" si="11"/>
        <v>2.93</v>
      </c>
    </row>
    <row r="115" ht="90" spans="1:8">
      <c r="A115" s="114">
        <v>5</v>
      </c>
      <c r="B115" s="118" t="s">
        <v>270</v>
      </c>
      <c r="C115" s="115" t="s">
        <v>271</v>
      </c>
      <c r="D115" s="101" t="s">
        <v>272</v>
      </c>
      <c r="E115" s="116">
        <v>31</v>
      </c>
      <c r="F115" s="101">
        <v>2</v>
      </c>
      <c r="G115" s="117">
        <f t="shared" si="10"/>
        <v>62</v>
      </c>
      <c r="H115" s="117">
        <f t="shared" si="11"/>
        <v>5.16</v>
      </c>
    </row>
    <row r="116" ht="60" spans="1:8">
      <c r="A116" s="114">
        <v>6</v>
      </c>
      <c r="B116" s="101" t="s">
        <v>273</v>
      </c>
      <c r="C116" s="115" t="s">
        <v>274</v>
      </c>
      <c r="D116" s="101" t="s">
        <v>272</v>
      </c>
      <c r="E116" s="116">
        <v>51</v>
      </c>
      <c r="F116" s="101">
        <v>2</v>
      </c>
      <c r="G116" s="117">
        <f t="shared" si="10"/>
        <v>102</v>
      </c>
      <c r="H116" s="117">
        <f t="shared" si="11"/>
        <v>8.5</v>
      </c>
    </row>
    <row r="117" ht="105" spans="1:8">
      <c r="A117" s="114">
        <v>7</v>
      </c>
      <c r="B117" s="101" t="s">
        <v>273</v>
      </c>
      <c r="C117" s="115" t="s">
        <v>275</v>
      </c>
      <c r="D117" s="101" t="s">
        <v>272</v>
      </c>
      <c r="E117" s="116">
        <v>55</v>
      </c>
      <c r="F117" s="101">
        <v>1</v>
      </c>
      <c r="G117" s="117">
        <f t="shared" si="10"/>
        <v>55</v>
      </c>
      <c r="H117" s="117">
        <f t="shared" si="11"/>
        <v>4.58</v>
      </c>
    </row>
    <row r="118" ht="45" spans="1:8">
      <c r="A118" s="114">
        <v>8</v>
      </c>
      <c r="B118" s="101" t="s">
        <v>276</v>
      </c>
      <c r="C118" s="115" t="s">
        <v>277</v>
      </c>
      <c r="D118" s="101" t="s">
        <v>272</v>
      </c>
      <c r="E118" s="116">
        <v>11.47</v>
      </c>
      <c r="F118" s="101">
        <v>4</v>
      </c>
      <c r="G118" s="117">
        <f t="shared" si="10"/>
        <v>45.88</v>
      </c>
      <c r="H118" s="117">
        <f t="shared" si="11"/>
        <v>3.82</v>
      </c>
    </row>
    <row r="119" ht="45" spans="1:8">
      <c r="A119" s="114">
        <v>9</v>
      </c>
      <c r="B119" s="101" t="s">
        <v>278</v>
      </c>
      <c r="C119" s="115" t="s">
        <v>279</v>
      </c>
      <c r="D119" s="101" t="s">
        <v>264</v>
      </c>
      <c r="E119" s="116">
        <v>12.65</v>
      </c>
      <c r="F119" s="101">
        <v>1</v>
      </c>
      <c r="G119" s="117">
        <f t="shared" si="10"/>
        <v>12.65</v>
      </c>
      <c r="H119" s="117">
        <f t="shared" si="11"/>
        <v>1.05</v>
      </c>
    </row>
    <row r="120" ht="60" spans="1:8">
      <c r="A120" s="114">
        <v>10</v>
      </c>
      <c r="B120" s="101" t="s">
        <v>280</v>
      </c>
      <c r="C120" s="115" t="s">
        <v>281</v>
      </c>
      <c r="D120" s="101" t="s">
        <v>264</v>
      </c>
      <c r="E120" s="116">
        <v>19.88</v>
      </c>
      <c r="F120" s="101">
        <v>1</v>
      </c>
      <c r="G120" s="117">
        <f t="shared" si="10"/>
        <v>19.88</v>
      </c>
      <c r="H120" s="117">
        <f t="shared" si="11"/>
        <v>1.65</v>
      </c>
    </row>
    <row r="121" ht="60" spans="1:8">
      <c r="A121" s="114">
        <v>11</v>
      </c>
      <c r="B121" s="101" t="s">
        <v>282</v>
      </c>
      <c r="C121" s="115" t="s">
        <v>283</v>
      </c>
      <c r="D121" s="101" t="s">
        <v>284</v>
      </c>
      <c r="E121" s="116">
        <v>150</v>
      </c>
      <c r="F121" s="101">
        <v>1</v>
      </c>
      <c r="G121" s="117">
        <f t="shared" si="10"/>
        <v>150</v>
      </c>
      <c r="H121" s="117">
        <f t="shared" si="11"/>
        <v>12.5</v>
      </c>
    </row>
    <row r="122" ht="60" spans="1:8">
      <c r="A122" s="114">
        <v>12</v>
      </c>
      <c r="B122" s="101" t="s">
        <v>285</v>
      </c>
      <c r="C122" s="115" t="s">
        <v>286</v>
      </c>
      <c r="D122" s="101" t="s">
        <v>272</v>
      </c>
      <c r="E122" s="116">
        <v>4.65</v>
      </c>
      <c r="F122" s="101">
        <v>6</v>
      </c>
      <c r="G122" s="117">
        <f t="shared" si="10"/>
        <v>27.9</v>
      </c>
      <c r="H122" s="117">
        <f t="shared" si="11"/>
        <v>2.32</v>
      </c>
    </row>
    <row r="123" ht="75" spans="1:8">
      <c r="A123" s="114">
        <v>13</v>
      </c>
      <c r="B123" s="101" t="s">
        <v>287</v>
      </c>
      <c r="C123" s="115" t="s">
        <v>288</v>
      </c>
      <c r="D123" s="101" t="s">
        <v>264</v>
      </c>
      <c r="E123" s="116">
        <v>5.13</v>
      </c>
      <c r="F123" s="101">
        <v>2</v>
      </c>
      <c r="G123" s="117">
        <f t="shared" si="10"/>
        <v>10.26</v>
      </c>
      <c r="H123" s="117">
        <f t="shared" si="11"/>
        <v>0.85</v>
      </c>
    </row>
    <row r="124" ht="45" spans="1:8">
      <c r="A124" s="114">
        <v>14</v>
      </c>
      <c r="B124" s="101" t="s">
        <v>289</v>
      </c>
      <c r="C124" s="115" t="s">
        <v>290</v>
      </c>
      <c r="D124" s="101" t="s">
        <v>264</v>
      </c>
      <c r="E124" s="116">
        <v>4.15</v>
      </c>
      <c r="F124" s="101">
        <v>4</v>
      </c>
      <c r="G124" s="117">
        <f t="shared" si="10"/>
        <v>16.6</v>
      </c>
      <c r="H124" s="117">
        <f t="shared" si="11"/>
        <v>1.38</v>
      </c>
    </row>
    <row r="125" ht="30" spans="1:8">
      <c r="A125" s="114">
        <v>15</v>
      </c>
      <c r="B125" s="101" t="s">
        <v>291</v>
      </c>
      <c r="C125" s="115" t="s">
        <v>292</v>
      </c>
      <c r="D125" s="101" t="s">
        <v>264</v>
      </c>
      <c r="E125" s="116">
        <v>21.27</v>
      </c>
      <c r="F125" s="101">
        <v>4</v>
      </c>
      <c r="G125" s="117">
        <f t="shared" si="10"/>
        <v>85.08</v>
      </c>
      <c r="H125" s="117">
        <f t="shared" si="11"/>
        <v>7.09</v>
      </c>
    </row>
    <row r="126" ht="105" spans="1:8">
      <c r="A126" s="114">
        <v>16</v>
      </c>
      <c r="B126" s="114" t="s">
        <v>293</v>
      </c>
      <c r="C126" s="115" t="s">
        <v>294</v>
      </c>
      <c r="D126" s="101" t="s">
        <v>264</v>
      </c>
      <c r="E126" s="116">
        <v>1.6</v>
      </c>
      <c r="F126" s="101">
        <v>12</v>
      </c>
      <c r="G126" s="117">
        <f t="shared" si="10"/>
        <v>19.2</v>
      </c>
      <c r="H126" s="117">
        <f t="shared" si="11"/>
        <v>1.6</v>
      </c>
    </row>
    <row r="127" spans="1:8">
      <c r="A127" s="78" t="s">
        <v>204</v>
      </c>
      <c r="B127" s="78"/>
      <c r="C127" s="78"/>
      <c r="D127" s="78"/>
      <c r="E127" s="78"/>
      <c r="F127" s="78"/>
      <c r="G127" s="79">
        <f>TRUNC(SUM(H111:H126),2)</f>
        <v>112.8</v>
      </c>
      <c r="H127" s="79"/>
    </row>
    <row r="130" spans="1:8">
      <c r="A130" s="107" t="s">
        <v>252</v>
      </c>
      <c r="B130" s="108"/>
      <c r="C130" s="107"/>
      <c r="D130" s="109"/>
      <c r="E130" s="107"/>
      <c r="F130" s="107"/>
      <c r="G130" s="107"/>
      <c r="H130" s="107"/>
    </row>
    <row r="131" spans="1:8">
      <c r="A131" s="110" t="s">
        <v>306</v>
      </c>
      <c r="B131" s="111"/>
      <c r="C131" s="110"/>
      <c r="D131" s="112"/>
      <c r="E131" s="110"/>
      <c r="F131" s="110"/>
      <c r="G131" s="110"/>
      <c r="H131" s="110"/>
    </row>
    <row r="132" ht="60" spans="1:8">
      <c r="A132" s="113" t="s">
        <v>254</v>
      </c>
      <c r="B132" s="113" t="s">
        <v>255</v>
      </c>
      <c r="C132" s="113" t="s">
        <v>256</v>
      </c>
      <c r="D132" s="113" t="s">
        <v>257</v>
      </c>
      <c r="E132" s="113" t="s">
        <v>258</v>
      </c>
      <c r="F132" s="113" t="s">
        <v>259</v>
      </c>
      <c r="G132" s="113" t="s">
        <v>260</v>
      </c>
      <c r="H132" s="113" t="s">
        <v>261</v>
      </c>
    </row>
    <row r="133" ht="60" spans="1:8">
      <c r="A133" s="114">
        <v>1</v>
      </c>
      <c r="B133" s="101" t="s">
        <v>262</v>
      </c>
      <c r="C133" s="119" t="s">
        <v>263</v>
      </c>
      <c r="D133" s="101" t="s">
        <v>264</v>
      </c>
      <c r="E133" s="116">
        <v>69.85</v>
      </c>
      <c r="F133" s="101">
        <v>4</v>
      </c>
      <c r="G133" s="117">
        <f>TRUNC(F133*E133,2)</f>
        <v>279.4</v>
      </c>
      <c r="H133" s="117">
        <f>TRUNC(G133/12,2)</f>
        <v>23.28</v>
      </c>
    </row>
    <row r="134" ht="60" spans="1:8">
      <c r="A134" s="114">
        <v>2</v>
      </c>
      <c r="B134" s="101" t="s">
        <v>265</v>
      </c>
      <c r="C134" s="119" t="s">
        <v>266</v>
      </c>
      <c r="D134" s="101" t="s">
        <v>264</v>
      </c>
      <c r="E134" s="116">
        <v>69.14</v>
      </c>
      <c r="F134" s="101">
        <v>4</v>
      </c>
      <c r="G134" s="117">
        <f t="shared" ref="G134:G145" si="12">TRUNC(F134*E134,2)</f>
        <v>276.56</v>
      </c>
      <c r="H134" s="117">
        <f t="shared" ref="H134:H145" si="13">TRUNC(G134/12,2)</f>
        <v>23.04</v>
      </c>
    </row>
    <row r="135" ht="60" spans="1:8">
      <c r="A135" s="114">
        <v>3</v>
      </c>
      <c r="B135" s="101" t="s">
        <v>265</v>
      </c>
      <c r="C135" s="120" t="s">
        <v>267</v>
      </c>
      <c r="D135" s="101" t="s">
        <v>264</v>
      </c>
      <c r="E135" s="116">
        <v>39.15</v>
      </c>
      <c r="F135" s="101">
        <v>4</v>
      </c>
      <c r="G135" s="117">
        <f t="shared" si="12"/>
        <v>156.6</v>
      </c>
      <c r="H135" s="117">
        <f t="shared" si="13"/>
        <v>13.05</v>
      </c>
    </row>
    <row r="136" ht="30" spans="1:8">
      <c r="A136" s="114">
        <v>4</v>
      </c>
      <c r="B136" s="118" t="s">
        <v>268</v>
      </c>
      <c r="C136" s="119" t="s">
        <v>269</v>
      </c>
      <c r="D136" s="101" t="s">
        <v>264</v>
      </c>
      <c r="E136" s="116">
        <v>17.62</v>
      </c>
      <c r="F136" s="101">
        <v>2</v>
      </c>
      <c r="G136" s="117">
        <f t="shared" si="12"/>
        <v>35.24</v>
      </c>
      <c r="H136" s="117">
        <f t="shared" si="13"/>
        <v>2.93</v>
      </c>
    </row>
    <row r="137" ht="90" spans="1:8">
      <c r="A137" s="114">
        <v>5</v>
      </c>
      <c r="B137" s="118" t="s">
        <v>270</v>
      </c>
      <c r="C137" s="119" t="s">
        <v>271</v>
      </c>
      <c r="D137" s="101" t="s">
        <v>272</v>
      </c>
      <c r="E137" s="116">
        <v>31</v>
      </c>
      <c r="F137" s="101">
        <v>2</v>
      </c>
      <c r="G137" s="117">
        <f t="shared" si="12"/>
        <v>62</v>
      </c>
      <c r="H137" s="117">
        <f t="shared" si="13"/>
        <v>5.16</v>
      </c>
    </row>
    <row r="138" ht="60" spans="1:8">
      <c r="A138" s="114">
        <v>6</v>
      </c>
      <c r="B138" s="101" t="s">
        <v>273</v>
      </c>
      <c r="C138" s="119" t="s">
        <v>274</v>
      </c>
      <c r="D138" s="101" t="s">
        <v>272</v>
      </c>
      <c r="E138" s="116">
        <v>51</v>
      </c>
      <c r="F138" s="101">
        <v>2</v>
      </c>
      <c r="G138" s="117">
        <f t="shared" si="12"/>
        <v>102</v>
      </c>
      <c r="H138" s="117">
        <f t="shared" si="13"/>
        <v>8.5</v>
      </c>
    </row>
    <row r="139" ht="105" spans="1:8">
      <c r="A139" s="114">
        <v>7</v>
      </c>
      <c r="B139" s="101" t="s">
        <v>273</v>
      </c>
      <c r="C139" s="119" t="s">
        <v>275</v>
      </c>
      <c r="D139" s="101" t="s">
        <v>272</v>
      </c>
      <c r="E139" s="116">
        <v>55</v>
      </c>
      <c r="F139" s="101">
        <v>1</v>
      </c>
      <c r="G139" s="117">
        <f t="shared" si="12"/>
        <v>55</v>
      </c>
      <c r="H139" s="117">
        <f t="shared" si="13"/>
        <v>4.58</v>
      </c>
    </row>
    <row r="140" ht="45" spans="1:8">
      <c r="A140" s="114">
        <v>8</v>
      </c>
      <c r="B140" s="101" t="s">
        <v>276</v>
      </c>
      <c r="C140" s="119" t="s">
        <v>277</v>
      </c>
      <c r="D140" s="101" t="s">
        <v>272</v>
      </c>
      <c r="E140" s="116">
        <v>11.47</v>
      </c>
      <c r="F140" s="101">
        <v>4</v>
      </c>
      <c r="G140" s="117">
        <f t="shared" si="12"/>
        <v>45.88</v>
      </c>
      <c r="H140" s="117">
        <f t="shared" si="13"/>
        <v>3.82</v>
      </c>
    </row>
    <row r="141" ht="45" spans="1:8">
      <c r="A141" s="114">
        <v>9</v>
      </c>
      <c r="B141" s="101" t="s">
        <v>278</v>
      </c>
      <c r="C141" s="119" t="s">
        <v>279</v>
      </c>
      <c r="D141" s="101" t="s">
        <v>264</v>
      </c>
      <c r="E141" s="116">
        <v>12.65</v>
      </c>
      <c r="F141" s="101">
        <v>1</v>
      </c>
      <c r="G141" s="117">
        <f t="shared" si="12"/>
        <v>12.65</v>
      </c>
      <c r="H141" s="117">
        <f t="shared" si="13"/>
        <v>1.05</v>
      </c>
    </row>
    <row r="142" ht="60" spans="1:8">
      <c r="A142" s="114">
        <v>10</v>
      </c>
      <c r="B142" s="101" t="s">
        <v>285</v>
      </c>
      <c r="C142" s="119" t="s">
        <v>286</v>
      </c>
      <c r="D142" s="101" t="s">
        <v>272</v>
      </c>
      <c r="E142" s="116">
        <v>4.65</v>
      </c>
      <c r="F142" s="101">
        <v>4</v>
      </c>
      <c r="G142" s="117">
        <f t="shared" si="12"/>
        <v>18.6</v>
      </c>
      <c r="H142" s="117">
        <f t="shared" si="13"/>
        <v>1.55</v>
      </c>
    </row>
    <row r="143" ht="75" spans="1:8">
      <c r="A143" s="114">
        <v>11</v>
      </c>
      <c r="B143" s="101" t="s">
        <v>287</v>
      </c>
      <c r="C143" s="119" t="s">
        <v>288</v>
      </c>
      <c r="D143" s="101" t="s">
        <v>264</v>
      </c>
      <c r="E143" s="116">
        <v>5.13</v>
      </c>
      <c r="F143" s="101">
        <v>2</v>
      </c>
      <c r="G143" s="117">
        <f t="shared" si="12"/>
        <v>10.26</v>
      </c>
      <c r="H143" s="117">
        <f t="shared" si="13"/>
        <v>0.85</v>
      </c>
    </row>
    <row r="144" ht="75" spans="1:8">
      <c r="A144" s="114">
        <v>12</v>
      </c>
      <c r="B144" s="101" t="s">
        <v>307</v>
      </c>
      <c r="C144" s="119" t="s">
        <v>308</v>
      </c>
      <c r="D144" s="101" t="s">
        <v>264</v>
      </c>
      <c r="E144" s="116">
        <v>37.93</v>
      </c>
      <c r="F144" s="101">
        <v>1</v>
      </c>
      <c r="G144" s="117">
        <f t="shared" si="12"/>
        <v>37.93</v>
      </c>
      <c r="H144" s="117">
        <f t="shared" si="13"/>
        <v>3.16</v>
      </c>
    </row>
    <row r="145" ht="30" spans="1:8">
      <c r="A145" s="114">
        <v>13</v>
      </c>
      <c r="B145" s="101" t="s">
        <v>291</v>
      </c>
      <c r="C145" s="119" t="s">
        <v>292</v>
      </c>
      <c r="D145" s="101" t="s">
        <v>264</v>
      </c>
      <c r="E145" s="116">
        <v>21.27</v>
      </c>
      <c r="F145" s="101">
        <v>4</v>
      </c>
      <c r="G145" s="117">
        <f t="shared" si="12"/>
        <v>85.08</v>
      </c>
      <c r="H145" s="117">
        <f t="shared" si="13"/>
        <v>7.09</v>
      </c>
    </row>
    <row r="146" spans="1:8">
      <c r="A146" s="78" t="s">
        <v>204</v>
      </c>
      <c r="B146" s="78"/>
      <c r="C146" s="78"/>
      <c r="D146" s="78"/>
      <c r="E146" s="78"/>
      <c r="F146" s="78"/>
      <c r="G146" s="79">
        <f>TRUNC(SUM(H133:H145),2)</f>
        <v>98.06</v>
      </c>
      <c r="H146" s="79"/>
    </row>
    <row r="149" spans="1:8">
      <c r="A149" s="107" t="s">
        <v>252</v>
      </c>
      <c r="B149" s="108"/>
      <c r="C149" s="107"/>
      <c r="D149" s="109"/>
      <c r="E149" s="107"/>
      <c r="F149" s="107"/>
      <c r="G149" s="107"/>
      <c r="H149" s="107"/>
    </row>
    <row r="150" spans="1:8">
      <c r="A150" s="110" t="s">
        <v>309</v>
      </c>
      <c r="B150" s="111"/>
      <c r="C150" s="110"/>
      <c r="D150" s="112"/>
      <c r="E150" s="110"/>
      <c r="F150" s="110"/>
      <c r="G150" s="110"/>
      <c r="H150" s="110"/>
    </row>
    <row r="151" ht="60" spans="1:8">
      <c r="A151" s="113" t="s">
        <v>254</v>
      </c>
      <c r="B151" s="113" t="s">
        <v>255</v>
      </c>
      <c r="C151" s="113" t="s">
        <v>256</v>
      </c>
      <c r="D151" s="113" t="s">
        <v>257</v>
      </c>
      <c r="E151" s="113" t="s">
        <v>258</v>
      </c>
      <c r="F151" s="113" t="s">
        <v>259</v>
      </c>
      <c r="G151" s="113" t="s">
        <v>260</v>
      </c>
      <c r="H151" s="113" t="s">
        <v>261</v>
      </c>
    </row>
    <row r="152" ht="60" spans="1:8">
      <c r="A152" s="114">
        <v>1</v>
      </c>
      <c r="B152" s="101" t="s">
        <v>262</v>
      </c>
      <c r="C152" s="119" t="s">
        <v>263</v>
      </c>
      <c r="D152" s="101" t="s">
        <v>264</v>
      </c>
      <c r="E152" s="116">
        <v>69.85</v>
      </c>
      <c r="F152" s="101">
        <v>4</v>
      </c>
      <c r="G152" s="117">
        <f>TRUNC(F152*E152,2)</f>
        <v>279.4</v>
      </c>
      <c r="H152" s="117">
        <f>TRUNC(G152/12,2)</f>
        <v>23.28</v>
      </c>
    </row>
    <row r="153" ht="60" spans="1:8">
      <c r="A153" s="114">
        <v>2</v>
      </c>
      <c r="B153" s="101" t="s">
        <v>265</v>
      </c>
      <c r="C153" s="119" t="s">
        <v>266</v>
      </c>
      <c r="D153" s="101" t="s">
        <v>264</v>
      </c>
      <c r="E153" s="116">
        <v>69.14</v>
      </c>
      <c r="F153" s="101">
        <v>4</v>
      </c>
      <c r="G153" s="117">
        <f t="shared" ref="G153:G162" si="14">TRUNC(F153*E153,2)</f>
        <v>276.56</v>
      </c>
      <c r="H153" s="117">
        <f t="shared" ref="H153:H163" si="15">TRUNC(G153/12,2)</f>
        <v>23.04</v>
      </c>
    </row>
    <row r="154" ht="60" spans="1:8">
      <c r="A154" s="114">
        <v>3</v>
      </c>
      <c r="B154" s="118" t="s">
        <v>265</v>
      </c>
      <c r="C154" s="119" t="s">
        <v>267</v>
      </c>
      <c r="D154" s="118" t="s">
        <v>264</v>
      </c>
      <c r="E154" s="116">
        <v>39.15</v>
      </c>
      <c r="F154" s="101">
        <v>4</v>
      </c>
      <c r="G154" s="117">
        <f t="shared" si="14"/>
        <v>156.6</v>
      </c>
      <c r="H154" s="117">
        <f t="shared" si="15"/>
        <v>13.05</v>
      </c>
    </row>
    <row r="155" ht="90" spans="1:8">
      <c r="A155" s="114">
        <v>4</v>
      </c>
      <c r="B155" s="118" t="s">
        <v>270</v>
      </c>
      <c r="C155" s="119" t="s">
        <v>271</v>
      </c>
      <c r="D155" s="101" t="s">
        <v>272</v>
      </c>
      <c r="E155" s="116">
        <v>31</v>
      </c>
      <c r="F155" s="101">
        <v>2</v>
      </c>
      <c r="G155" s="117">
        <f t="shared" si="14"/>
        <v>62</v>
      </c>
      <c r="H155" s="117">
        <f t="shared" si="15"/>
        <v>5.16</v>
      </c>
    </row>
    <row r="156" ht="60" spans="1:8">
      <c r="A156" s="114">
        <v>5</v>
      </c>
      <c r="B156" s="101" t="s">
        <v>273</v>
      </c>
      <c r="C156" s="119" t="s">
        <v>274</v>
      </c>
      <c r="D156" s="101" t="s">
        <v>272</v>
      </c>
      <c r="E156" s="116">
        <v>51</v>
      </c>
      <c r="F156" s="101">
        <v>2</v>
      </c>
      <c r="G156" s="117">
        <f t="shared" si="14"/>
        <v>102</v>
      </c>
      <c r="H156" s="117">
        <f t="shared" si="15"/>
        <v>8.5</v>
      </c>
    </row>
    <row r="157" ht="45" spans="1:8">
      <c r="A157" s="114">
        <v>6</v>
      </c>
      <c r="B157" s="101" t="s">
        <v>276</v>
      </c>
      <c r="C157" s="119" t="s">
        <v>277</v>
      </c>
      <c r="D157" s="101" t="s">
        <v>272</v>
      </c>
      <c r="E157" s="116">
        <v>11.47</v>
      </c>
      <c r="F157" s="101">
        <v>4</v>
      </c>
      <c r="G157" s="117">
        <f t="shared" si="14"/>
        <v>45.88</v>
      </c>
      <c r="H157" s="117">
        <f t="shared" si="15"/>
        <v>3.82</v>
      </c>
    </row>
    <row r="158" ht="45" spans="1:8">
      <c r="A158" s="114">
        <v>7</v>
      </c>
      <c r="B158" s="101" t="s">
        <v>278</v>
      </c>
      <c r="C158" s="119" t="s">
        <v>279</v>
      </c>
      <c r="D158" s="101" t="s">
        <v>264</v>
      </c>
      <c r="E158" s="116">
        <v>12.65</v>
      </c>
      <c r="F158" s="101">
        <v>1</v>
      </c>
      <c r="G158" s="117">
        <f t="shared" si="14"/>
        <v>12.65</v>
      </c>
      <c r="H158" s="117">
        <f t="shared" si="15"/>
        <v>1.05</v>
      </c>
    </row>
    <row r="159" ht="60" spans="1:8">
      <c r="A159" s="114">
        <v>8</v>
      </c>
      <c r="B159" s="101" t="s">
        <v>285</v>
      </c>
      <c r="C159" s="119" t="s">
        <v>286</v>
      </c>
      <c r="D159" s="101" t="s">
        <v>272</v>
      </c>
      <c r="E159" s="116">
        <v>4.65</v>
      </c>
      <c r="F159" s="101">
        <v>6</v>
      </c>
      <c r="G159" s="117">
        <f t="shared" si="14"/>
        <v>27.9</v>
      </c>
      <c r="H159" s="117">
        <f t="shared" si="15"/>
        <v>2.32</v>
      </c>
    </row>
    <row r="160" ht="75" spans="1:8">
      <c r="A160" s="114">
        <v>9</v>
      </c>
      <c r="B160" s="101" t="s">
        <v>287</v>
      </c>
      <c r="C160" s="119" t="s">
        <v>288</v>
      </c>
      <c r="D160" s="101" t="s">
        <v>264</v>
      </c>
      <c r="E160" s="116">
        <v>5.13</v>
      </c>
      <c r="F160" s="101">
        <v>2</v>
      </c>
      <c r="G160" s="117">
        <f t="shared" si="14"/>
        <v>10.26</v>
      </c>
      <c r="H160" s="117">
        <f t="shared" si="15"/>
        <v>0.85</v>
      </c>
    </row>
    <row r="161" ht="45" spans="1:8">
      <c r="A161" s="114">
        <v>10</v>
      </c>
      <c r="B161" s="101" t="s">
        <v>289</v>
      </c>
      <c r="C161" s="119" t="s">
        <v>290</v>
      </c>
      <c r="D161" s="101" t="s">
        <v>264</v>
      </c>
      <c r="E161" s="116">
        <v>4.15</v>
      </c>
      <c r="F161" s="101">
        <v>4</v>
      </c>
      <c r="G161" s="117">
        <f t="shared" si="14"/>
        <v>16.6</v>
      </c>
      <c r="H161" s="117">
        <f t="shared" si="15"/>
        <v>1.38</v>
      </c>
    </row>
    <row r="162" ht="90" spans="1:8">
      <c r="A162" s="114">
        <v>11</v>
      </c>
      <c r="B162" s="101" t="s">
        <v>310</v>
      </c>
      <c r="C162" s="119" t="s">
        <v>311</v>
      </c>
      <c r="D162" s="101" t="s">
        <v>264</v>
      </c>
      <c r="E162" s="116">
        <v>48.43</v>
      </c>
      <c r="F162" s="101">
        <v>1</v>
      </c>
      <c r="G162" s="117">
        <f t="shared" si="14"/>
        <v>48.43</v>
      </c>
      <c r="H162" s="117">
        <f t="shared" si="15"/>
        <v>4.03</v>
      </c>
    </row>
    <row r="163" spans="1:8">
      <c r="A163" s="78" t="s">
        <v>204</v>
      </c>
      <c r="B163" s="78"/>
      <c r="C163" s="78"/>
      <c r="D163" s="78"/>
      <c r="E163" s="78"/>
      <c r="F163" s="78"/>
      <c r="G163" s="79">
        <f>TRUNC(SUM(H152:H162),2)</f>
        <v>86.48</v>
      </c>
      <c r="H163" s="79"/>
    </row>
    <row r="168" spans="8:8">
      <c r="H168" s="117"/>
    </row>
  </sheetData>
  <mergeCells count="32">
    <mergeCell ref="A1:H1"/>
    <mergeCell ref="A2:H2"/>
    <mergeCell ref="A20:F20"/>
    <mergeCell ref="G20:H20"/>
    <mergeCell ref="A23:H23"/>
    <mergeCell ref="A24:H24"/>
    <mergeCell ref="A42:F42"/>
    <mergeCell ref="G42:H42"/>
    <mergeCell ref="A45:H45"/>
    <mergeCell ref="A46:H46"/>
    <mergeCell ref="A63:F63"/>
    <mergeCell ref="G63:H63"/>
    <mergeCell ref="A66:H66"/>
    <mergeCell ref="A67:H67"/>
    <mergeCell ref="A84:F84"/>
    <mergeCell ref="G84:H84"/>
    <mergeCell ref="A87:H87"/>
    <mergeCell ref="A88:H88"/>
    <mergeCell ref="A105:F105"/>
    <mergeCell ref="G105:H105"/>
    <mergeCell ref="A108:H108"/>
    <mergeCell ref="A109:H109"/>
    <mergeCell ref="A127:F127"/>
    <mergeCell ref="G127:H127"/>
    <mergeCell ref="A130:H130"/>
    <mergeCell ref="A131:H131"/>
    <mergeCell ref="A146:F146"/>
    <mergeCell ref="G146:H146"/>
    <mergeCell ref="A149:H149"/>
    <mergeCell ref="A150:H150"/>
    <mergeCell ref="A163:F163"/>
    <mergeCell ref="G163:H163"/>
  </mergeCells>
  <pageMargins left="0.75" right="0.75" top="1" bottom="1" header="0.5" footer="0.5"/>
  <pageSetup paperSize="9" orientation="landscape"/>
  <headerFooter/>
  <tableParts count="1">
    <tablePart r:id="rId1"/>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I23" sqref="I23"/>
    </sheetView>
  </sheetViews>
  <sheetFormatPr defaultColWidth="9.14285714285714" defaultRowHeight="15" outlineLevelCol="5"/>
  <cols>
    <col min="2" max="2" width="57.2857142857143" customWidth="1"/>
    <col min="3" max="3" width="18.5714285714286" customWidth="1"/>
    <col min="4" max="4" width="17.5714285714286" customWidth="1"/>
    <col min="5" max="5" width="10.7142857142857" customWidth="1"/>
    <col min="6" max="6" width="11.4285714285714" customWidth="1"/>
  </cols>
  <sheetData>
    <row r="1" spans="1:6">
      <c r="A1" s="96" t="s">
        <v>312</v>
      </c>
      <c r="B1" s="96"/>
      <c r="C1" s="96"/>
      <c r="D1" s="96"/>
      <c r="E1" s="96"/>
      <c r="F1" s="96"/>
    </row>
    <row r="2" ht="30" customHeight="1" spans="1:6">
      <c r="A2" s="97" t="s">
        <v>254</v>
      </c>
      <c r="B2" s="97" t="s">
        <v>256</v>
      </c>
      <c r="C2" s="97" t="s">
        <v>257</v>
      </c>
      <c r="D2" s="97" t="s">
        <v>259</v>
      </c>
      <c r="E2" s="97" t="s">
        <v>313</v>
      </c>
      <c r="F2" s="97" t="s">
        <v>314</v>
      </c>
    </row>
    <row r="3" spans="1:6">
      <c r="A3" s="97"/>
      <c r="B3" s="97"/>
      <c r="C3" s="97"/>
      <c r="D3" s="97"/>
      <c r="E3" s="97"/>
      <c r="F3" s="97"/>
    </row>
    <row r="4" spans="1:6">
      <c r="A4" s="97"/>
      <c r="B4" s="97"/>
      <c r="C4" s="97"/>
      <c r="D4" s="97"/>
      <c r="E4" s="97"/>
      <c r="F4" s="97"/>
    </row>
    <row r="5" customHeight="1" spans="1:4">
      <c r="A5" s="98">
        <v>1</v>
      </c>
      <c r="B5" s="99" t="s">
        <v>315</v>
      </c>
      <c r="C5" s="99"/>
      <c r="D5" s="99"/>
    </row>
    <row r="6" spans="1:6">
      <c r="A6" s="98"/>
      <c r="B6" s="100" t="s">
        <v>316</v>
      </c>
      <c r="C6" s="101" t="s">
        <v>264</v>
      </c>
      <c r="D6" s="102">
        <v>1</v>
      </c>
      <c r="E6" s="76">
        <v>65.17</v>
      </c>
      <c r="F6" s="76">
        <f>TRUNC(E6*D6,2)</f>
        <v>65.17</v>
      </c>
    </row>
    <row r="7" spans="1:6">
      <c r="A7" s="98"/>
      <c r="B7" s="100" t="s">
        <v>317</v>
      </c>
      <c r="C7" s="101" t="s">
        <v>264</v>
      </c>
      <c r="D7" s="102">
        <v>1</v>
      </c>
      <c r="E7" s="76">
        <v>8.35</v>
      </c>
      <c r="F7" s="76">
        <f t="shared" ref="F7:F18" si="0">TRUNC(E7*D7,2)</f>
        <v>8.35</v>
      </c>
    </row>
    <row r="8" spans="1:6">
      <c r="A8" s="98"/>
      <c r="B8" s="100" t="s">
        <v>318</v>
      </c>
      <c r="C8" s="101" t="s">
        <v>319</v>
      </c>
      <c r="D8" s="102">
        <v>1</v>
      </c>
      <c r="E8" s="76">
        <v>17.06</v>
      </c>
      <c r="F8" s="76">
        <f t="shared" si="0"/>
        <v>17.06</v>
      </c>
    </row>
    <row r="9" spans="1:6">
      <c r="A9" s="98"/>
      <c r="B9" s="100" t="s">
        <v>320</v>
      </c>
      <c r="C9" s="101" t="s">
        <v>319</v>
      </c>
      <c r="D9" s="102">
        <v>1</v>
      </c>
      <c r="E9" s="76">
        <v>30.88</v>
      </c>
      <c r="F9" s="76">
        <f t="shared" si="0"/>
        <v>30.88</v>
      </c>
    </row>
    <row r="10" spans="1:6">
      <c r="A10" s="98"/>
      <c r="B10" s="100" t="s">
        <v>321</v>
      </c>
      <c r="C10" s="101" t="s">
        <v>322</v>
      </c>
      <c r="D10" s="102">
        <v>10</v>
      </c>
      <c r="E10" s="76">
        <v>1.66</v>
      </c>
      <c r="F10" s="76">
        <f t="shared" si="0"/>
        <v>16.6</v>
      </c>
    </row>
    <row r="11" spans="1:6">
      <c r="A11" s="98"/>
      <c r="B11" s="100" t="s">
        <v>323</v>
      </c>
      <c r="C11" s="101" t="s">
        <v>324</v>
      </c>
      <c r="D11" s="102">
        <v>2</v>
      </c>
      <c r="E11" s="76">
        <v>10.46</v>
      </c>
      <c r="F11" s="76">
        <f t="shared" si="0"/>
        <v>20.92</v>
      </c>
    </row>
    <row r="12" spans="1:6">
      <c r="A12" s="98"/>
      <c r="B12" s="100" t="s">
        <v>325</v>
      </c>
      <c r="C12" s="101" t="s">
        <v>324</v>
      </c>
      <c r="D12" s="102">
        <v>5</v>
      </c>
      <c r="E12" s="76">
        <v>1.27</v>
      </c>
      <c r="F12" s="76">
        <f t="shared" si="0"/>
        <v>6.35</v>
      </c>
    </row>
    <row r="13" spans="1:6">
      <c r="A13" s="98"/>
      <c r="B13" s="100" t="s">
        <v>326</v>
      </c>
      <c r="C13" s="101" t="s">
        <v>327</v>
      </c>
      <c r="D13" s="102">
        <v>2</v>
      </c>
      <c r="E13" s="76">
        <v>6.6</v>
      </c>
      <c r="F13" s="76">
        <f t="shared" si="0"/>
        <v>13.2</v>
      </c>
    </row>
    <row r="14" spans="1:6">
      <c r="A14" s="98"/>
      <c r="B14" s="100" t="s">
        <v>328</v>
      </c>
      <c r="C14" s="101" t="s">
        <v>327</v>
      </c>
      <c r="D14" s="102">
        <v>2</v>
      </c>
      <c r="E14" s="76">
        <v>3.48</v>
      </c>
      <c r="F14" s="76">
        <f t="shared" si="0"/>
        <v>6.96</v>
      </c>
    </row>
    <row r="15" ht="30" spans="1:6">
      <c r="A15" s="101">
        <v>2</v>
      </c>
      <c r="B15" s="100" t="s">
        <v>329</v>
      </c>
      <c r="C15" s="101" t="s">
        <v>324</v>
      </c>
      <c r="D15" s="101">
        <v>1</v>
      </c>
      <c r="E15" s="76">
        <v>300</v>
      </c>
      <c r="F15" s="76">
        <f t="shared" si="0"/>
        <v>300</v>
      </c>
    </row>
    <row r="16" spans="1:6">
      <c r="A16" s="101">
        <v>3</v>
      </c>
      <c r="B16" s="100" t="s">
        <v>330</v>
      </c>
      <c r="C16" s="101" t="s">
        <v>272</v>
      </c>
      <c r="D16" s="102">
        <v>1</v>
      </c>
      <c r="E16" s="76">
        <v>1076.43</v>
      </c>
      <c r="F16" s="76">
        <f t="shared" si="0"/>
        <v>1076.43</v>
      </c>
    </row>
    <row r="17" spans="1:6">
      <c r="A17" s="101">
        <v>4</v>
      </c>
      <c r="B17" s="100" t="s">
        <v>331</v>
      </c>
      <c r="C17" s="101" t="s">
        <v>264</v>
      </c>
      <c r="D17" s="102">
        <v>3</v>
      </c>
      <c r="E17" s="76">
        <v>17.99</v>
      </c>
      <c r="F17" s="76">
        <f t="shared" si="0"/>
        <v>53.97</v>
      </c>
    </row>
    <row r="18" spans="1:6">
      <c r="A18" s="101">
        <v>5</v>
      </c>
      <c r="B18" s="100" t="s">
        <v>332</v>
      </c>
      <c r="C18" s="101" t="s">
        <v>264</v>
      </c>
      <c r="D18" s="102">
        <v>6</v>
      </c>
      <c r="E18" s="76">
        <v>71.32</v>
      </c>
      <c r="F18" s="76">
        <f t="shared" si="0"/>
        <v>427.92</v>
      </c>
    </row>
    <row r="19" spans="1:6">
      <c r="A19" s="78" t="s">
        <v>314</v>
      </c>
      <c r="B19" s="78"/>
      <c r="C19" s="78"/>
      <c r="D19" s="78"/>
      <c r="E19" s="79">
        <f>TRUNC(SUM(F6:F18),2)</f>
        <v>2043.81</v>
      </c>
      <c r="F19" s="79"/>
    </row>
    <row r="20" spans="1:6">
      <c r="A20" s="96" t="s">
        <v>333</v>
      </c>
      <c r="B20" s="96"/>
      <c r="C20" s="96"/>
      <c r="D20" s="96"/>
      <c r="E20" s="103">
        <v>14</v>
      </c>
      <c r="F20" s="103"/>
    </row>
    <row r="21" spans="1:6">
      <c r="A21" s="96" t="s">
        <v>334</v>
      </c>
      <c r="B21" s="96"/>
      <c r="C21" s="96"/>
      <c r="D21" s="96"/>
      <c r="E21" s="104">
        <f>TRUNC((E19/E20)/12,2)</f>
        <v>12.16</v>
      </c>
      <c r="F21" s="104"/>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5"/>
  <sheetViews>
    <sheetView topLeftCell="A104" workbookViewId="0">
      <selection activeCell="I150" sqref="I150"/>
    </sheetView>
  </sheetViews>
  <sheetFormatPr defaultColWidth="9.14285714285714" defaultRowHeight="15" outlineLevelCol="5"/>
  <cols>
    <col min="1" max="1" width="5.42857142857143" customWidth="1"/>
    <col min="2" max="2" width="54" customWidth="1"/>
    <col min="3" max="3" width="11.7142857142857" customWidth="1"/>
    <col min="4" max="4" width="13" customWidth="1"/>
    <col min="5" max="5" width="16" customWidth="1"/>
    <col min="6" max="6" width="17.1428571428571" customWidth="1"/>
    <col min="7" max="7" width="11.4285714285714"/>
  </cols>
  <sheetData>
    <row r="1" spans="1:6">
      <c r="A1" s="71" t="s">
        <v>335</v>
      </c>
      <c r="B1" s="71"/>
      <c r="C1" s="71"/>
      <c r="D1" s="71"/>
      <c r="E1" s="71"/>
      <c r="F1" s="71"/>
    </row>
    <row r="2" ht="30" spans="1:6">
      <c r="A2" s="72" t="s">
        <v>254</v>
      </c>
      <c r="B2" s="72" t="s">
        <v>256</v>
      </c>
      <c r="C2" s="72" t="s">
        <v>257</v>
      </c>
      <c r="D2" s="72" t="s">
        <v>336</v>
      </c>
      <c r="E2" s="72" t="s">
        <v>313</v>
      </c>
      <c r="F2" s="72" t="s">
        <v>337</v>
      </c>
    </row>
    <row r="3" ht="30" spans="1:6">
      <c r="A3" s="73">
        <v>1</v>
      </c>
      <c r="B3" s="74" t="s">
        <v>338</v>
      </c>
      <c r="C3" s="73" t="s">
        <v>339</v>
      </c>
      <c r="D3" s="73">
        <v>6</v>
      </c>
      <c r="E3" s="75">
        <v>41.48</v>
      </c>
      <c r="F3" s="76">
        <f>TRUNC(E3*D3,2)</f>
        <v>248.88</v>
      </c>
    </row>
    <row r="4" ht="30" spans="1:6">
      <c r="A4" s="73">
        <v>2</v>
      </c>
      <c r="B4" s="74" t="s">
        <v>340</v>
      </c>
      <c r="C4" s="73" t="s">
        <v>339</v>
      </c>
      <c r="D4" s="73">
        <v>4</v>
      </c>
      <c r="E4" s="75">
        <v>34</v>
      </c>
      <c r="F4" s="76">
        <f t="shared" ref="F4:F35" si="0">TRUNC(E4*D4,2)</f>
        <v>136</v>
      </c>
    </row>
    <row r="5" ht="30" spans="1:6">
      <c r="A5" s="73">
        <v>3</v>
      </c>
      <c r="B5" s="74" t="s">
        <v>341</v>
      </c>
      <c r="C5" s="73" t="s">
        <v>339</v>
      </c>
      <c r="D5" s="73">
        <v>6</v>
      </c>
      <c r="E5" s="75">
        <v>32.42</v>
      </c>
      <c r="F5" s="76">
        <f t="shared" si="0"/>
        <v>194.52</v>
      </c>
    </row>
    <row r="6" ht="30" spans="1:6">
      <c r="A6" s="73">
        <v>4</v>
      </c>
      <c r="B6" s="74" t="s">
        <v>342</v>
      </c>
      <c r="C6" s="73" t="s">
        <v>339</v>
      </c>
      <c r="D6" s="73">
        <v>6</v>
      </c>
      <c r="E6" s="75">
        <v>22.9</v>
      </c>
      <c r="F6" s="76">
        <f t="shared" si="0"/>
        <v>137.4</v>
      </c>
    </row>
    <row r="7" ht="60" spans="1:6">
      <c r="A7" s="73">
        <v>5</v>
      </c>
      <c r="B7" s="74" t="s">
        <v>343</v>
      </c>
      <c r="C7" s="73" t="s">
        <v>339</v>
      </c>
      <c r="D7" s="73">
        <v>3</v>
      </c>
      <c r="E7" s="75">
        <v>75.7</v>
      </c>
      <c r="F7" s="76">
        <f t="shared" si="0"/>
        <v>227.1</v>
      </c>
    </row>
    <row r="8" ht="75" spans="1:6">
      <c r="A8" s="73">
        <v>6</v>
      </c>
      <c r="B8" s="74" t="s">
        <v>344</v>
      </c>
      <c r="C8" s="73" t="s">
        <v>339</v>
      </c>
      <c r="D8" s="73">
        <v>3</v>
      </c>
      <c r="E8" s="75">
        <v>116.77</v>
      </c>
      <c r="F8" s="76">
        <f t="shared" si="0"/>
        <v>350.31</v>
      </c>
    </row>
    <row r="9" ht="45" spans="1:6">
      <c r="A9" s="73">
        <v>7</v>
      </c>
      <c r="B9" s="74" t="s">
        <v>345</v>
      </c>
      <c r="C9" s="73" t="s">
        <v>339</v>
      </c>
      <c r="D9" s="73">
        <v>6</v>
      </c>
      <c r="E9" s="75">
        <v>14.34</v>
      </c>
      <c r="F9" s="76">
        <f t="shared" si="0"/>
        <v>86.04</v>
      </c>
    </row>
    <row r="10" ht="45" spans="1:6">
      <c r="A10" s="73">
        <v>8</v>
      </c>
      <c r="B10" s="74" t="s">
        <v>346</v>
      </c>
      <c r="C10" s="73" t="s">
        <v>339</v>
      </c>
      <c r="D10" s="73">
        <v>6</v>
      </c>
      <c r="E10" s="75">
        <v>12.69</v>
      </c>
      <c r="F10" s="76">
        <f t="shared" si="0"/>
        <v>76.14</v>
      </c>
    </row>
    <row r="11" ht="45" spans="1:6">
      <c r="A11" s="73">
        <v>9</v>
      </c>
      <c r="B11" s="74" t="s">
        <v>347</v>
      </c>
      <c r="C11" s="73" t="s">
        <v>339</v>
      </c>
      <c r="D11" s="73">
        <v>6</v>
      </c>
      <c r="E11" s="75">
        <v>24.01</v>
      </c>
      <c r="F11" s="76">
        <f t="shared" si="0"/>
        <v>144.06</v>
      </c>
    </row>
    <row r="12" ht="45" spans="1:6">
      <c r="A12" s="73">
        <v>10</v>
      </c>
      <c r="B12" s="74" t="s">
        <v>348</v>
      </c>
      <c r="C12" s="73" t="s">
        <v>339</v>
      </c>
      <c r="D12" s="73">
        <v>6</v>
      </c>
      <c r="E12" s="75">
        <v>15.8</v>
      </c>
      <c r="F12" s="76">
        <f t="shared" si="0"/>
        <v>94.8</v>
      </c>
    </row>
    <row r="13" ht="45" spans="1:6">
      <c r="A13" s="73">
        <v>11</v>
      </c>
      <c r="B13" s="74" t="s">
        <v>349</v>
      </c>
      <c r="C13" s="73" t="s">
        <v>339</v>
      </c>
      <c r="D13" s="73">
        <v>6</v>
      </c>
      <c r="E13" s="75">
        <v>16.4</v>
      </c>
      <c r="F13" s="76">
        <f t="shared" si="0"/>
        <v>98.4</v>
      </c>
    </row>
    <row r="14" ht="45" spans="1:6">
      <c r="A14" s="73">
        <v>12</v>
      </c>
      <c r="B14" s="74" t="s">
        <v>350</v>
      </c>
      <c r="C14" s="73" t="s">
        <v>339</v>
      </c>
      <c r="D14" s="73">
        <v>6</v>
      </c>
      <c r="E14" s="75">
        <v>11.2</v>
      </c>
      <c r="F14" s="76">
        <f t="shared" si="0"/>
        <v>67.2</v>
      </c>
    </row>
    <row r="15" ht="45" spans="1:6">
      <c r="A15" s="73">
        <v>13</v>
      </c>
      <c r="B15" s="74" t="s">
        <v>351</v>
      </c>
      <c r="C15" s="73" t="s">
        <v>339</v>
      </c>
      <c r="D15" s="73">
        <v>6</v>
      </c>
      <c r="E15" s="75">
        <v>10.6</v>
      </c>
      <c r="F15" s="76">
        <f t="shared" si="0"/>
        <v>63.6</v>
      </c>
    </row>
    <row r="16" ht="45" spans="1:6">
      <c r="A16" s="73">
        <v>14</v>
      </c>
      <c r="B16" s="74" t="s">
        <v>352</v>
      </c>
      <c r="C16" s="73" t="s">
        <v>339</v>
      </c>
      <c r="D16" s="73">
        <v>6</v>
      </c>
      <c r="E16" s="75">
        <v>11.35</v>
      </c>
      <c r="F16" s="76">
        <f t="shared" si="0"/>
        <v>68.1</v>
      </c>
    </row>
    <row r="17" ht="45" spans="1:6">
      <c r="A17" s="73">
        <v>15</v>
      </c>
      <c r="B17" s="74" t="s">
        <v>353</v>
      </c>
      <c r="C17" s="73" t="s">
        <v>339</v>
      </c>
      <c r="D17" s="73">
        <v>6</v>
      </c>
      <c r="E17" s="75">
        <v>13.25</v>
      </c>
      <c r="F17" s="76">
        <f t="shared" si="0"/>
        <v>79.5</v>
      </c>
    </row>
    <row r="18" ht="45" spans="1:6">
      <c r="A18" s="73">
        <v>16</v>
      </c>
      <c r="B18" s="74" t="s">
        <v>354</v>
      </c>
      <c r="C18" s="73" t="s">
        <v>339</v>
      </c>
      <c r="D18" s="73">
        <v>6</v>
      </c>
      <c r="E18" s="75">
        <v>11.33</v>
      </c>
      <c r="F18" s="76">
        <f t="shared" si="0"/>
        <v>67.98</v>
      </c>
    </row>
    <row r="19" ht="45" spans="1:6">
      <c r="A19" s="73">
        <v>17</v>
      </c>
      <c r="B19" s="74" t="s">
        <v>355</v>
      </c>
      <c r="C19" s="73" t="s">
        <v>339</v>
      </c>
      <c r="D19" s="73">
        <v>6</v>
      </c>
      <c r="E19" s="75">
        <v>7.63</v>
      </c>
      <c r="F19" s="76">
        <f t="shared" si="0"/>
        <v>45.78</v>
      </c>
    </row>
    <row r="20" ht="45" spans="1:6">
      <c r="A20" s="73">
        <v>18</v>
      </c>
      <c r="B20" s="74" t="s">
        <v>356</v>
      </c>
      <c r="C20" s="73" t="s">
        <v>339</v>
      </c>
      <c r="D20" s="73">
        <v>6</v>
      </c>
      <c r="E20" s="75">
        <v>5.8</v>
      </c>
      <c r="F20" s="76">
        <f t="shared" si="0"/>
        <v>34.8</v>
      </c>
    </row>
    <row r="21" ht="60" spans="1:6">
      <c r="A21" s="73">
        <v>19</v>
      </c>
      <c r="B21" s="74" t="s">
        <v>357</v>
      </c>
      <c r="C21" s="73" t="s">
        <v>339</v>
      </c>
      <c r="D21" s="73">
        <v>3</v>
      </c>
      <c r="E21" s="75">
        <v>38.96</v>
      </c>
      <c r="F21" s="76">
        <f t="shared" si="0"/>
        <v>116.88</v>
      </c>
    </row>
    <row r="22" ht="60" spans="1:6">
      <c r="A22" s="73">
        <v>20</v>
      </c>
      <c r="B22" s="74" t="s">
        <v>358</v>
      </c>
      <c r="C22" s="73" t="s">
        <v>339</v>
      </c>
      <c r="D22" s="73">
        <v>3</v>
      </c>
      <c r="E22" s="75">
        <v>27.74</v>
      </c>
      <c r="F22" s="76">
        <f t="shared" si="0"/>
        <v>83.22</v>
      </c>
    </row>
    <row r="23" ht="60" spans="1:6">
      <c r="A23" s="73">
        <v>21</v>
      </c>
      <c r="B23" s="74" t="s">
        <v>359</v>
      </c>
      <c r="C23" s="73" t="s">
        <v>339</v>
      </c>
      <c r="D23" s="73">
        <v>3</v>
      </c>
      <c r="E23" s="75">
        <v>24.97</v>
      </c>
      <c r="F23" s="76">
        <f t="shared" si="0"/>
        <v>74.91</v>
      </c>
    </row>
    <row r="24" ht="45" spans="1:6">
      <c r="A24" s="73">
        <v>22</v>
      </c>
      <c r="B24" s="74" t="s">
        <v>360</v>
      </c>
      <c r="C24" s="73" t="s">
        <v>339</v>
      </c>
      <c r="D24" s="73">
        <v>4</v>
      </c>
      <c r="E24" s="75">
        <v>40</v>
      </c>
      <c r="F24" s="76">
        <f t="shared" si="0"/>
        <v>160</v>
      </c>
    </row>
    <row r="25" ht="45" spans="1:6">
      <c r="A25" s="73">
        <v>23</v>
      </c>
      <c r="B25" s="74" t="s">
        <v>361</v>
      </c>
      <c r="C25" s="73" t="s">
        <v>339</v>
      </c>
      <c r="D25" s="73">
        <v>4</v>
      </c>
      <c r="E25" s="75">
        <v>172.34</v>
      </c>
      <c r="F25" s="76">
        <f t="shared" si="0"/>
        <v>689.36</v>
      </c>
    </row>
    <row r="26" ht="135" spans="1:6">
      <c r="A26" s="73">
        <v>24</v>
      </c>
      <c r="B26" s="74" t="s">
        <v>362</v>
      </c>
      <c r="C26" s="73" t="s">
        <v>339</v>
      </c>
      <c r="D26" s="73">
        <v>4</v>
      </c>
      <c r="E26" s="75">
        <v>141.79</v>
      </c>
      <c r="F26" s="76">
        <f t="shared" si="0"/>
        <v>567.16</v>
      </c>
    </row>
    <row r="27" ht="75" spans="1:6">
      <c r="A27" s="73">
        <v>25</v>
      </c>
      <c r="B27" s="74" t="s">
        <v>363</v>
      </c>
      <c r="C27" s="73" t="s">
        <v>339</v>
      </c>
      <c r="D27" s="73">
        <v>10</v>
      </c>
      <c r="E27" s="75">
        <v>92.13</v>
      </c>
      <c r="F27" s="76">
        <f t="shared" si="0"/>
        <v>921.3</v>
      </c>
    </row>
    <row r="28" ht="90" spans="1:6">
      <c r="A28" s="73">
        <v>26</v>
      </c>
      <c r="B28" s="74" t="s">
        <v>364</v>
      </c>
      <c r="C28" s="73" t="s">
        <v>339</v>
      </c>
      <c r="D28" s="73">
        <v>4</v>
      </c>
      <c r="E28" s="75">
        <v>331.34</v>
      </c>
      <c r="F28" s="76">
        <f t="shared" si="0"/>
        <v>1325.36</v>
      </c>
    </row>
    <row r="29" ht="60" spans="1:6">
      <c r="A29" s="73">
        <v>27</v>
      </c>
      <c r="B29" s="74" t="s">
        <v>365</v>
      </c>
      <c r="C29" s="73" t="s">
        <v>339</v>
      </c>
      <c r="D29" s="73">
        <v>12</v>
      </c>
      <c r="E29" s="75">
        <v>30.5</v>
      </c>
      <c r="F29" s="76">
        <f t="shared" si="0"/>
        <v>366</v>
      </c>
    </row>
    <row r="30" ht="30" spans="1:6">
      <c r="A30" s="73">
        <v>28</v>
      </c>
      <c r="B30" s="74" t="s">
        <v>366</v>
      </c>
      <c r="C30" s="73" t="s">
        <v>339</v>
      </c>
      <c r="D30" s="73">
        <v>12</v>
      </c>
      <c r="E30" s="75">
        <v>30.9</v>
      </c>
      <c r="F30" s="76">
        <f t="shared" si="0"/>
        <v>370.8</v>
      </c>
    </row>
    <row r="31" ht="45" spans="1:6">
      <c r="A31" s="73">
        <v>29</v>
      </c>
      <c r="B31" s="74" t="s">
        <v>367</v>
      </c>
      <c r="C31" s="73" t="s">
        <v>339</v>
      </c>
      <c r="D31" s="73">
        <v>2</v>
      </c>
      <c r="E31" s="75">
        <v>71.15</v>
      </c>
      <c r="F31" s="76">
        <f t="shared" si="0"/>
        <v>142.3</v>
      </c>
    </row>
    <row r="32" ht="30" spans="1:6">
      <c r="A32" s="73">
        <v>30</v>
      </c>
      <c r="B32" s="74" t="s">
        <v>368</v>
      </c>
      <c r="C32" s="73" t="s">
        <v>339</v>
      </c>
      <c r="D32" s="73">
        <v>2</v>
      </c>
      <c r="E32" s="75">
        <v>53.33</v>
      </c>
      <c r="F32" s="76">
        <f t="shared" si="0"/>
        <v>106.66</v>
      </c>
    </row>
    <row r="33" ht="60" spans="1:6">
      <c r="A33" s="73">
        <v>31</v>
      </c>
      <c r="B33" s="74" t="s">
        <v>369</v>
      </c>
      <c r="C33" s="73" t="s">
        <v>339</v>
      </c>
      <c r="D33" s="73">
        <v>4</v>
      </c>
      <c r="E33" s="75">
        <v>54.62</v>
      </c>
      <c r="F33" s="76">
        <f t="shared" si="0"/>
        <v>218.48</v>
      </c>
    </row>
    <row r="34" ht="75" spans="1:6">
      <c r="A34" s="73">
        <v>32</v>
      </c>
      <c r="B34" s="74" t="s">
        <v>370</v>
      </c>
      <c r="C34" s="73" t="s">
        <v>339</v>
      </c>
      <c r="D34" s="73">
        <v>4</v>
      </c>
      <c r="E34" s="75">
        <v>28.43</v>
      </c>
      <c r="F34" s="76">
        <f t="shared" si="0"/>
        <v>113.72</v>
      </c>
    </row>
    <row r="35" ht="45" spans="1:6">
      <c r="A35" s="73">
        <v>33</v>
      </c>
      <c r="B35" s="74" t="s">
        <v>371</v>
      </c>
      <c r="C35" s="73" t="s">
        <v>339</v>
      </c>
      <c r="D35" s="73">
        <v>2</v>
      </c>
      <c r="E35" s="75">
        <v>59.9</v>
      </c>
      <c r="F35" s="76">
        <f t="shared" si="0"/>
        <v>119.8</v>
      </c>
    </row>
    <row r="36" ht="30" spans="1:6">
      <c r="A36" s="73">
        <v>34</v>
      </c>
      <c r="B36" s="74" t="s">
        <v>372</v>
      </c>
      <c r="C36" s="73" t="s">
        <v>339</v>
      </c>
      <c r="D36" s="73">
        <v>10</v>
      </c>
      <c r="E36" s="75">
        <v>31.28</v>
      </c>
      <c r="F36" s="76">
        <f t="shared" ref="F36:F67" si="1">TRUNC(E36*D36,2)</f>
        <v>312.8</v>
      </c>
    </row>
    <row r="37" ht="30" spans="1:6">
      <c r="A37" s="73">
        <v>35</v>
      </c>
      <c r="B37" s="74" t="s">
        <v>373</v>
      </c>
      <c r="C37" s="73" t="s">
        <v>339</v>
      </c>
      <c r="D37" s="73">
        <v>10</v>
      </c>
      <c r="E37" s="75">
        <v>42.09</v>
      </c>
      <c r="F37" s="76">
        <f t="shared" si="1"/>
        <v>420.9</v>
      </c>
    </row>
    <row r="38" ht="30" spans="1:6">
      <c r="A38" s="73">
        <v>36</v>
      </c>
      <c r="B38" s="74" t="s">
        <v>374</v>
      </c>
      <c r="C38" s="73" t="s">
        <v>339</v>
      </c>
      <c r="D38" s="73">
        <v>4</v>
      </c>
      <c r="E38" s="75">
        <v>21.57</v>
      </c>
      <c r="F38" s="76">
        <f t="shared" si="1"/>
        <v>86.28</v>
      </c>
    </row>
    <row r="39" ht="45" spans="1:6">
      <c r="A39" s="73">
        <v>37</v>
      </c>
      <c r="B39" s="74" t="s">
        <v>375</v>
      </c>
      <c r="C39" s="73" t="s">
        <v>339</v>
      </c>
      <c r="D39" s="73">
        <v>6</v>
      </c>
      <c r="E39" s="75">
        <v>39.9</v>
      </c>
      <c r="F39" s="76">
        <f t="shared" si="1"/>
        <v>239.4</v>
      </c>
    </row>
    <row r="40" ht="30" spans="1:6">
      <c r="A40" s="73">
        <v>38</v>
      </c>
      <c r="B40" s="74" t="s">
        <v>376</v>
      </c>
      <c r="C40" s="73" t="s">
        <v>339</v>
      </c>
      <c r="D40" s="73">
        <v>6</v>
      </c>
      <c r="E40" s="75">
        <v>76.23</v>
      </c>
      <c r="F40" s="76">
        <f t="shared" si="1"/>
        <v>457.38</v>
      </c>
    </row>
    <row r="41" ht="45" spans="1:6">
      <c r="A41" s="73">
        <v>39</v>
      </c>
      <c r="B41" s="74" t="s">
        <v>377</v>
      </c>
      <c r="C41" s="73" t="s">
        <v>339</v>
      </c>
      <c r="D41" s="73">
        <v>3</v>
      </c>
      <c r="E41" s="75">
        <v>119.27</v>
      </c>
      <c r="F41" s="76">
        <f t="shared" si="1"/>
        <v>357.81</v>
      </c>
    </row>
    <row r="42" ht="45" spans="1:6">
      <c r="A42" s="73">
        <v>40</v>
      </c>
      <c r="B42" s="74" t="s">
        <v>378</v>
      </c>
      <c r="C42" s="73" t="s">
        <v>339</v>
      </c>
      <c r="D42" s="73">
        <v>3</v>
      </c>
      <c r="E42" s="75">
        <v>17.88</v>
      </c>
      <c r="F42" s="76">
        <f t="shared" si="1"/>
        <v>53.64</v>
      </c>
    </row>
    <row r="43" ht="45" spans="1:6">
      <c r="A43" s="73">
        <v>41</v>
      </c>
      <c r="B43" s="74" t="s">
        <v>379</v>
      </c>
      <c r="C43" s="73" t="s">
        <v>339</v>
      </c>
      <c r="D43" s="73">
        <v>3</v>
      </c>
      <c r="E43" s="75">
        <v>13.9</v>
      </c>
      <c r="F43" s="76">
        <f t="shared" si="1"/>
        <v>41.7</v>
      </c>
    </row>
    <row r="44" ht="45" spans="1:6">
      <c r="A44" s="73">
        <v>42</v>
      </c>
      <c r="B44" s="74" t="s">
        <v>380</v>
      </c>
      <c r="C44" s="73" t="s">
        <v>339</v>
      </c>
      <c r="D44" s="73">
        <v>3</v>
      </c>
      <c r="E44" s="75">
        <v>21.63</v>
      </c>
      <c r="F44" s="76">
        <f t="shared" si="1"/>
        <v>64.89</v>
      </c>
    </row>
    <row r="45" ht="45" spans="1:6">
      <c r="A45" s="73">
        <v>43</v>
      </c>
      <c r="B45" s="74" t="s">
        <v>381</v>
      </c>
      <c r="C45" s="73" t="s">
        <v>339</v>
      </c>
      <c r="D45" s="73">
        <v>3</v>
      </c>
      <c r="E45" s="75">
        <v>84.42</v>
      </c>
      <c r="F45" s="76">
        <f t="shared" si="1"/>
        <v>253.26</v>
      </c>
    </row>
    <row r="46" ht="30" spans="1:6">
      <c r="A46" s="73">
        <v>44</v>
      </c>
      <c r="B46" s="74" t="s">
        <v>382</v>
      </c>
      <c r="C46" s="73" t="s">
        <v>339</v>
      </c>
      <c r="D46" s="73">
        <v>3</v>
      </c>
      <c r="E46" s="75">
        <v>96.1</v>
      </c>
      <c r="F46" s="76">
        <f t="shared" si="1"/>
        <v>288.3</v>
      </c>
    </row>
    <row r="47" ht="45" spans="1:6">
      <c r="A47" s="73">
        <v>45</v>
      </c>
      <c r="B47" s="74" t="s">
        <v>383</v>
      </c>
      <c r="C47" s="73" t="s">
        <v>339</v>
      </c>
      <c r="D47" s="73">
        <v>6</v>
      </c>
      <c r="E47" s="75">
        <v>23.04</v>
      </c>
      <c r="F47" s="76">
        <f t="shared" si="1"/>
        <v>138.24</v>
      </c>
    </row>
    <row r="48" ht="45" spans="1:6">
      <c r="A48" s="73">
        <v>46</v>
      </c>
      <c r="B48" s="74" t="s">
        <v>384</v>
      </c>
      <c r="C48" s="73" t="s">
        <v>339</v>
      </c>
      <c r="D48" s="73">
        <v>6</v>
      </c>
      <c r="E48" s="75">
        <v>32.9</v>
      </c>
      <c r="F48" s="76">
        <f t="shared" si="1"/>
        <v>197.4</v>
      </c>
    </row>
    <row r="49" ht="45" spans="1:6">
      <c r="A49" s="73">
        <v>47</v>
      </c>
      <c r="B49" s="74" t="s">
        <v>385</v>
      </c>
      <c r="C49" s="73" t="s">
        <v>339</v>
      </c>
      <c r="D49" s="73">
        <v>3</v>
      </c>
      <c r="E49" s="75">
        <v>39.96</v>
      </c>
      <c r="F49" s="76">
        <f t="shared" si="1"/>
        <v>119.88</v>
      </c>
    </row>
    <row r="50" ht="45" spans="1:6">
      <c r="A50" s="73">
        <v>48</v>
      </c>
      <c r="B50" s="74" t="s">
        <v>386</v>
      </c>
      <c r="C50" s="73" t="s">
        <v>339</v>
      </c>
      <c r="D50" s="73">
        <v>3</v>
      </c>
      <c r="E50" s="75">
        <v>36.73</v>
      </c>
      <c r="F50" s="76">
        <f t="shared" si="1"/>
        <v>110.19</v>
      </c>
    </row>
    <row r="51" ht="90" spans="1:6">
      <c r="A51" s="73">
        <v>49</v>
      </c>
      <c r="B51" s="74" t="s">
        <v>387</v>
      </c>
      <c r="C51" s="73" t="s">
        <v>339</v>
      </c>
      <c r="D51" s="73">
        <v>3</v>
      </c>
      <c r="E51" s="75">
        <v>156.14</v>
      </c>
      <c r="F51" s="76">
        <f t="shared" si="1"/>
        <v>468.42</v>
      </c>
    </row>
    <row r="52" ht="45" spans="1:6">
      <c r="A52" s="73">
        <v>50</v>
      </c>
      <c r="B52" s="74" t="s">
        <v>388</v>
      </c>
      <c r="C52" s="73" t="s">
        <v>339</v>
      </c>
      <c r="D52" s="73">
        <v>6</v>
      </c>
      <c r="E52" s="75">
        <v>25.89</v>
      </c>
      <c r="F52" s="76">
        <f t="shared" si="1"/>
        <v>155.34</v>
      </c>
    </row>
    <row r="53" ht="45" spans="1:6">
      <c r="A53" s="73">
        <v>51</v>
      </c>
      <c r="B53" s="74" t="s">
        <v>389</v>
      </c>
      <c r="C53" s="73" t="s">
        <v>339</v>
      </c>
      <c r="D53" s="73">
        <v>4</v>
      </c>
      <c r="E53" s="75">
        <v>20.46</v>
      </c>
      <c r="F53" s="76">
        <f t="shared" si="1"/>
        <v>81.84</v>
      </c>
    </row>
    <row r="54" ht="45" spans="1:6">
      <c r="A54" s="73">
        <v>52</v>
      </c>
      <c r="B54" s="74" t="s">
        <v>390</v>
      </c>
      <c r="C54" s="73" t="s">
        <v>339</v>
      </c>
      <c r="D54" s="73">
        <v>3</v>
      </c>
      <c r="E54" s="75">
        <v>27.48</v>
      </c>
      <c r="F54" s="76">
        <f t="shared" si="1"/>
        <v>82.44</v>
      </c>
    </row>
    <row r="55" ht="45" spans="1:6">
      <c r="A55" s="73">
        <v>53</v>
      </c>
      <c r="B55" s="74" t="s">
        <v>391</v>
      </c>
      <c r="C55" s="73" t="s">
        <v>339</v>
      </c>
      <c r="D55" s="73">
        <v>6</v>
      </c>
      <c r="E55" s="75">
        <v>11.27</v>
      </c>
      <c r="F55" s="76">
        <f t="shared" si="1"/>
        <v>67.62</v>
      </c>
    </row>
    <row r="56" ht="45" spans="1:6">
      <c r="A56" s="73">
        <v>54</v>
      </c>
      <c r="B56" s="74" t="s">
        <v>392</v>
      </c>
      <c r="C56" s="73" t="s">
        <v>339</v>
      </c>
      <c r="D56" s="73">
        <v>3</v>
      </c>
      <c r="E56" s="75">
        <v>11.9</v>
      </c>
      <c r="F56" s="76">
        <f t="shared" si="1"/>
        <v>35.7</v>
      </c>
    </row>
    <row r="57" ht="45" spans="1:6">
      <c r="A57" s="73">
        <v>55</v>
      </c>
      <c r="B57" s="74" t="s">
        <v>393</v>
      </c>
      <c r="C57" s="73" t="s">
        <v>339</v>
      </c>
      <c r="D57" s="73">
        <v>3</v>
      </c>
      <c r="E57" s="75">
        <v>62.57</v>
      </c>
      <c r="F57" s="76">
        <f t="shared" si="1"/>
        <v>187.71</v>
      </c>
    </row>
    <row r="58" ht="30" spans="1:6">
      <c r="A58" s="73">
        <v>56</v>
      </c>
      <c r="B58" s="74" t="s">
        <v>394</v>
      </c>
      <c r="C58" s="73" t="s">
        <v>339</v>
      </c>
      <c r="D58" s="73">
        <v>6</v>
      </c>
      <c r="E58" s="75">
        <v>36.23</v>
      </c>
      <c r="F58" s="76">
        <f t="shared" si="1"/>
        <v>217.38</v>
      </c>
    </row>
    <row r="59" ht="45" spans="1:6">
      <c r="A59" s="73">
        <v>57</v>
      </c>
      <c r="B59" s="74" t="s">
        <v>395</v>
      </c>
      <c r="C59" s="73" t="s">
        <v>396</v>
      </c>
      <c r="D59" s="73">
        <v>6</v>
      </c>
      <c r="E59" s="75">
        <v>110.86</v>
      </c>
      <c r="F59" s="76">
        <f t="shared" si="1"/>
        <v>665.16</v>
      </c>
    </row>
    <row r="60" ht="45" spans="1:6">
      <c r="A60" s="73">
        <v>58</v>
      </c>
      <c r="B60" s="74" t="s">
        <v>397</v>
      </c>
      <c r="C60" s="73" t="s">
        <v>339</v>
      </c>
      <c r="D60" s="73">
        <v>10</v>
      </c>
      <c r="E60" s="75">
        <v>9.49</v>
      </c>
      <c r="F60" s="76">
        <f t="shared" si="1"/>
        <v>94.9</v>
      </c>
    </row>
    <row r="61" ht="30" spans="1:6">
      <c r="A61" s="73">
        <v>59</v>
      </c>
      <c r="B61" s="74" t="s">
        <v>398</v>
      </c>
      <c r="C61" s="73" t="s">
        <v>339</v>
      </c>
      <c r="D61" s="73">
        <v>3</v>
      </c>
      <c r="E61" s="75">
        <v>12.9</v>
      </c>
      <c r="F61" s="76">
        <f t="shared" si="1"/>
        <v>38.7</v>
      </c>
    </row>
    <row r="62" ht="45" spans="1:6">
      <c r="A62" s="73">
        <v>60</v>
      </c>
      <c r="B62" s="74" t="s">
        <v>399</v>
      </c>
      <c r="C62" s="73" t="s">
        <v>339</v>
      </c>
      <c r="D62" s="73">
        <v>12</v>
      </c>
      <c r="E62" s="75">
        <v>3.76</v>
      </c>
      <c r="F62" s="76">
        <f t="shared" si="1"/>
        <v>45.12</v>
      </c>
    </row>
    <row r="63" ht="45" spans="1:6">
      <c r="A63" s="73">
        <v>61</v>
      </c>
      <c r="B63" s="74" t="s">
        <v>400</v>
      </c>
      <c r="C63" s="73" t="s">
        <v>339</v>
      </c>
      <c r="D63" s="73">
        <v>16</v>
      </c>
      <c r="E63" s="75">
        <v>5.65</v>
      </c>
      <c r="F63" s="76">
        <f t="shared" si="1"/>
        <v>90.4</v>
      </c>
    </row>
    <row r="64" ht="45" spans="1:6">
      <c r="A64" s="73">
        <v>62</v>
      </c>
      <c r="B64" s="74" t="s">
        <v>401</v>
      </c>
      <c r="C64" s="73" t="s">
        <v>339</v>
      </c>
      <c r="D64" s="73">
        <v>18</v>
      </c>
      <c r="E64" s="75">
        <v>13.03</v>
      </c>
      <c r="F64" s="76">
        <f t="shared" si="1"/>
        <v>234.54</v>
      </c>
    </row>
    <row r="65" ht="60" spans="1:6">
      <c r="A65" s="73">
        <v>63</v>
      </c>
      <c r="B65" s="74" t="s">
        <v>402</v>
      </c>
      <c r="C65" s="73" t="s">
        <v>339</v>
      </c>
      <c r="D65" s="73">
        <v>12</v>
      </c>
      <c r="E65" s="75">
        <v>9.19</v>
      </c>
      <c r="F65" s="76">
        <f t="shared" si="1"/>
        <v>110.28</v>
      </c>
    </row>
    <row r="66" ht="45" spans="1:6">
      <c r="A66" s="73">
        <v>64</v>
      </c>
      <c r="B66" s="74" t="s">
        <v>403</v>
      </c>
      <c r="C66" s="73" t="s">
        <v>339</v>
      </c>
      <c r="D66" s="73">
        <v>20</v>
      </c>
      <c r="E66" s="75">
        <v>4.9</v>
      </c>
      <c r="F66" s="76">
        <f t="shared" si="1"/>
        <v>98</v>
      </c>
    </row>
    <row r="67" ht="45" spans="1:6">
      <c r="A67" s="73">
        <v>65</v>
      </c>
      <c r="B67" s="74" t="s">
        <v>404</v>
      </c>
      <c r="C67" s="73" t="s">
        <v>339</v>
      </c>
      <c r="D67" s="73">
        <v>20</v>
      </c>
      <c r="E67" s="75">
        <v>6.5</v>
      </c>
      <c r="F67" s="76">
        <f t="shared" si="1"/>
        <v>130</v>
      </c>
    </row>
    <row r="68" ht="45" spans="1:6">
      <c r="A68" s="73">
        <v>66</v>
      </c>
      <c r="B68" s="74" t="s">
        <v>405</v>
      </c>
      <c r="C68" s="73" t="s">
        <v>339</v>
      </c>
      <c r="D68" s="73">
        <v>12</v>
      </c>
      <c r="E68" s="75">
        <v>15.68</v>
      </c>
      <c r="F68" s="76">
        <f t="shared" ref="F68:F110" si="2">TRUNC(E68*D68,2)</f>
        <v>188.16</v>
      </c>
    </row>
    <row r="69" ht="45" spans="1:6">
      <c r="A69" s="73">
        <v>67</v>
      </c>
      <c r="B69" s="74" t="s">
        <v>406</v>
      </c>
      <c r="C69" s="73" t="s">
        <v>339</v>
      </c>
      <c r="D69" s="73">
        <v>24</v>
      </c>
      <c r="E69" s="75">
        <v>31.23</v>
      </c>
      <c r="F69" s="76">
        <f t="shared" si="2"/>
        <v>749.52</v>
      </c>
    </row>
    <row r="70" ht="45" spans="1:6">
      <c r="A70" s="73">
        <v>68</v>
      </c>
      <c r="B70" s="74" t="s">
        <v>407</v>
      </c>
      <c r="C70" s="73" t="s">
        <v>339</v>
      </c>
      <c r="D70" s="73">
        <v>6</v>
      </c>
      <c r="E70" s="75">
        <v>45.82</v>
      </c>
      <c r="F70" s="76">
        <f t="shared" si="2"/>
        <v>274.92</v>
      </c>
    </row>
    <row r="71" ht="45" spans="1:6">
      <c r="A71" s="73">
        <v>69</v>
      </c>
      <c r="B71" s="74" t="s">
        <v>408</v>
      </c>
      <c r="C71" s="73" t="s">
        <v>339</v>
      </c>
      <c r="D71" s="73">
        <v>20</v>
      </c>
      <c r="E71" s="75">
        <v>6.91</v>
      </c>
      <c r="F71" s="76">
        <f t="shared" si="2"/>
        <v>138.2</v>
      </c>
    </row>
    <row r="72" ht="30" spans="1:6">
      <c r="A72" s="73">
        <v>70</v>
      </c>
      <c r="B72" s="74" t="s">
        <v>409</v>
      </c>
      <c r="C72" s="73" t="s">
        <v>339</v>
      </c>
      <c r="D72" s="73">
        <v>12</v>
      </c>
      <c r="E72" s="75">
        <v>14.8</v>
      </c>
      <c r="F72" s="76">
        <f t="shared" si="2"/>
        <v>177.6</v>
      </c>
    </row>
    <row r="73" ht="30" spans="1:6">
      <c r="A73" s="73">
        <v>71</v>
      </c>
      <c r="B73" s="74" t="s">
        <v>410</v>
      </c>
      <c r="C73" s="73" t="s">
        <v>339</v>
      </c>
      <c r="D73" s="73">
        <v>10</v>
      </c>
      <c r="E73" s="75">
        <v>4.1</v>
      </c>
      <c r="F73" s="76">
        <f t="shared" si="2"/>
        <v>41</v>
      </c>
    </row>
    <row r="74" ht="60" spans="1:6">
      <c r="A74" s="73">
        <v>72</v>
      </c>
      <c r="B74" s="74" t="s">
        <v>411</v>
      </c>
      <c r="C74" s="73" t="s">
        <v>339</v>
      </c>
      <c r="D74" s="73">
        <v>6</v>
      </c>
      <c r="E74" s="75">
        <v>29.34</v>
      </c>
      <c r="F74" s="76">
        <f t="shared" si="2"/>
        <v>176.04</v>
      </c>
    </row>
    <row r="75" ht="45" spans="1:6">
      <c r="A75" s="73">
        <v>73</v>
      </c>
      <c r="B75" s="74" t="s">
        <v>412</v>
      </c>
      <c r="C75" s="73" t="s">
        <v>339</v>
      </c>
      <c r="D75" s="73">
        <v>3</v>
      </c>
      <c r="E75" s="75">
        <v>16.79</v>
      </c>
      <c r="F75" s="76">
        <f t="shared" si="2"/>
        <v>50.37</v>
      </c>
    </row>
    <row r="76" ht="45" spans="1:6">
      <c r="A76" s="73">
        <v>74</v>
      </c>
      <c r="B76" s="74" t="s">
        <v>413</v>
      </c>
      <c r="C76" s="73" t="s">
        <v>339</v>
      </c>
      <c r="D76" s="73">
        <v>3</v>
      </c>
      <c r="E76" s="75">
        <v>15.57</v>
      </c>
      <c r="F76" s="76">
        <f t="shared" si="2"/>
        <v>46.71</v>
      </c>
    </row>
    <row r="77" ht="45" spans="1:6">
      <c r="A77" s="73">
        <v>75</v>
      </c>
      <c r="B77" s="74" t="s">
        <v>414</v>
      </c>
      <c r="C77" s="73" t="s">
        <v>339</v>
      </c>
      <c r="D77" s="73">
        <v>3</v>
      </c>
      <c r="E77" s="75">
        <v>19.57</v>
      </c>
      <c r="F77" s="76">
        <f t="shared" si="2"/>
        <v>58.71</v>
      </c>
    </row>
    <row r="78" ht="60" spans="1:6">
      <c r="A78" s="73">
        <v>76</v>
      </c>
      <c r="B78" s="74" t="s">
        <v>415</v>
      </c>
      <c r="C78" s="73" t="s">
        <v>339</v>
      </c>
      <c r="D78" s="73">
        <v>4</v>
      </c>
      <c r="E78" s="75">
        <v>25.99</v>
      </c>
      <c r="F78" s="76">
        <f t="shared" si="2"/>
        <v>103.96</v>
      </c>
    </row>
    <row r="79" ht="60" spans="1:6">
      <c r="A79" s="73">
        <v>77</v>
      </c>
      <c r="B79" s="74" t="s">
        <v>416</v>
      </c>
      <c r="C79" s="73" t="s">
        <v>339</v>
      </c>
      <c r="D79" s="73">
        <v>3</v>
      </c>
      <c r="E79" s="75">
        <v>21.93</v>
      </c>
      <c r="F79" s="76">
        <f t="shared" si="2"/>
        <v>65.79</v>
      </c>
    </row>
    <row r="80" ht="45" spans="1:6">
      <c r="A80" s="73">
        <v>78</v>
      </c>
      <c r="B80" s="77" t="s">
        <v>417</v>
      </c>
      <c r="C80" s="73" t="s">
        <v>339</v>
      </c>
      <c r="D80" s="73">
        <v>3</v>
      </c>
      <c r="E80" s="75">
        <v>44.9</v>
      </c>
      <c r="F80" s="76">
        <f t="shared" si="2"/>
        <v>134.7</v>
      </c>
    </row>
    <row r="81" ht="45" spans="1:6">
      <c r="A81" s="73">
        <v>79</v>
      </c>
      <c r="B81" s="77" t="s">
        <v>418</v>
      </c>
      <c r="C81" s="73" t="s">
        <v>339</v>
      </c>
      <c r="D81" s="73">
        <v>3</v>
      </c>
      <c r="E81" s="75">
        <v>26.89</v>
      </c>
      <c r="F81" s="76">
        <f t="shared" si="2"/>
        <v>80.67</v>
      </c>
    </row>
    <row r="82" ht="60" spans="1:6">
      <c r="A82" s="73">
        <v>80</v>
      </c>
      <c r="B82" s="77" t="s">
        <v>419</v>
      </c>
      <c r="C82" s="73" t="s">
        <v>339</v>
      </c>
      <c r="D82" s="73">
        <v>6</v>
      </c>
      <c r="E82" s="75">
        <v>39.49</v>
      </c>
      <c r="F82" s="76">
        <f t="shared" si="2"/>
        <v>236.94</v>
      </c>
    </row>
    <row r="83" ht="45" spans="1:6">
      <c r="A83" s="73">
        <v>81</v>
      </c>
      <c r="B83" s="77" t="s">
        <v>420</v>
      </c>
      <c r="C83" s="73" t="s">
        <v>339</v>
      </c>
      <c r="D83" s="73">
        <v>4</v>
      </c>
      <c r="E83" s="75">
        <v>62.69</v>
      </c>
      <c r="F83" s="76">
        <f t="shared" si="2"/>
        <v>250.76</v>
      </c>
    </row>
    <row r="84" ht="45" spans="1:6">
      <c r="A84" s="73">
        <v>82</v>
      </c>
      <c r="B84" s="77" t="s">
        <v>421</v>
      </c>
      <c r="C84" s="73" t="s">
        <v>339</v>
      </c>
      <c r="D84" s="73">
        <v>3</v>
      </c>
      <c r="E84" s="75">
        <v>29.9</v>
      </c>
      <c r="F84" s="76">
        <f t="shared" si="2"/>
        <v>89.7</v>
      </c>
    </row>
    <row r="85" ht="75" spans="1:6">
      <c r="A85" s="73">
        <v>83</v>
      </c>
      <c r="B85" s="77" t="s">
        <v>422</v>
      </c>
      <c r="C85" s="73" t="s">
        <v>339</v>
      </c>
      <c r="D85" s="73">
        <v>4</v>
      </c>
      <c r="E85" s="75">
        <v>172.74</v>
      </c>
      <c r="F85" s="76">
        <f t="shared" si="2"/>
        <v>690.96</v>
      </c>
    </row>
    <row r="86" ht="45" spans="1:6">
      <c r="A86" s="73">
        <v>84</v>
      </c>
      <c r="B86" s="77" t="s">
        <v>423</v>
      </c>
      <c r="C86" s="73" t="s">
        <v>339</v>
      </c>
      <c r="D86" s="73">
        <v>4</v>
      </c>
      <c r="E86" s="75">
        <v>33.67</v>
      </c>
      <c r="F86" s="76">
        <f t="shared" si="2"/>
        <v>134.68</v>
      </c>
    </row>
    <row r="87" ht="45" spans="1:6">
      <c r="A87" s="73">
        <v>85</v>
      </c>
      <c r="B87" s="77" t="s">
        <v>424</v>
      </c>
      <c r="C87" s="73" t="s">
        <v>339</v>
      </c>
      <c r="D87" s="73">
        <v>6</v>
      </c>
      <c r="E87" s="75">
        <v>24.9</v>
      </c>
      <c r="F87" s="76">
        <f t="shared" si="2"/>
        <v>149.4</v>
      </c>
    </row>
    <row r="88" ht="45" spans="1:6">
      <c r="A88" s="73">
        <v>86</v>
      </c>
      <c r="B88" s="77" t="s">
        <v>425</v>
      </c>
      <c r="C88" s="73" t="s">
        <v>339</v>
      </c>
      <c r="D88" s="73">
        <v>6</v>
      </c>
      <c r="E88" s="75">
        <v>14.7</v>
      </c>
      <c r="F88" s="76">
        <f t="shared" si="2"/>
        <v>88.2</v>
      </c>
    </row>
    <row r="89" ht="60" spans="1:6">
      <c r="A89" s="73">
        <v>87</v>
      </c>
      <c r="B89" s="77" t="s">
        <v>426</v>
      </c>
      <c r="C89" s="73" t="s">
        <v>339</v>
      </c>
      <c r="D89" s="73">
        <v>4</v>
      </c>
      <c r="E89" s="75">
        <v>58.57</v>
      </c>
      <c r="F89" s="76">
        <f t="shared" si="2"/>
        <v>234.28</v>
      </c>
    </row>
    <row r="90" ht="60" spans="1:6">
      <c r="A90" s="73">
        <v>88</v>
      </c>
      <c r="B90" s="77" t="s">
        <v>427</v>
      </c>
      <c r="C90" s="73" t="s">
        <v>339</v>
      </c>
      <c r="D90" s="73">
        <v>12</v>
      </c>
      <c r="E90" s="75">
        <v>57.68</v>
      </c>
      <c r="F90" s="76">
        <f t="shared" si="2"/>
        <v>692.16</v>
      </c>
    </row>
    <row r="91" ht="30" spans="1:6">
      <c r="A91" s="73">
        <v>89</v>
      </c>
      <c r="B91" s="77" t="s">
        <v>428</v>
      </c>
      <c r="C91" s="73" t="s">
        <v>339</v>
      </c>
      <c r="D91" s="73">
        <v>4</v>
      </c>
      <c r="E91" s="75">
        <v>28.4</v>
      </c>
      <c r="F91" s="76">
        <f t="shared" si="2"/>
        <v>113.6</v>
      </c>
    </row>
    <row r="92" ht="90" spans="1:6">
      <c r="A92" s="73">
        <v>90</v>
      </c>
      <c r="B92" s="77" t="s">
        <v>429</v>
      </c>
      <c r="C92" s="73" t="s">
        <v>339</v>
      </c>
      <c r="D92" s="73">
        <v>4</v>
      </c>
      <c r="E92" s="75">
        <v>131.54</v>
      </c>
      <c r="F92" s="76">
        <f t="shared" si="2"/>
        <v>526.16</v>
      </c>
    </row>
    <row r="93" ht="135" spans="1:6">
      <c r="A93" s="73">
        <v>91</v>
      </c>
      <c r="B93" s="77" t="s">
        <v>430</v>
      </c>
      <c r="C93" s="73" t="s">
        <v>339</v>
      </c>
      <c r="D93" s="73">
        <v>4</v>
      </c>
      <c r="E93" s="75">
        <v>35.99</v>
      </c>
      <c r="F93" s="76">
        <f t="shared" si="2"/>
        <v>143.96</v>
      </c>
    </row>
    <row r="94" ht="75" spans="1:6">
      <c r="A94" s="73">
        <v>92</v>
      </c>
      <c r="B94" s="77" t="s">
        <v>431</v>
      </c>
      <c r="C94" s="73" t="s">
        <v>339</v>
      </c>
      <c r="D94" s="73">
        <v>2</v>
      </c>
      <c r="E94" s="75">
        <v>27.05</v>
      </c>
      <c r="F94" s="76">
        <f t="shared" si="2"/>
        <v>54.1</v>
      </c>
    </row>
    <row r="95" ht="75" spans="1:6">
      <c r="A95" s="73">
        <v>93</v>
      </c>
      <c r="B95" s="77" t="s">
        <v>432</v>
      </c>
      <c r="C95" s="73" t="s">
        <v>339</v>
      </c>
      <c r="D95" s="73">
        <v>3</v>
      </c>
      <c r="E95" s="75">
        <v>305.16</v>
      </c>
      <c r="F95" s="76">
        <f t="shared" si="2"/>
        <v>915.48</v>
      </c>
    </row>
    <row r="96" ht="75" spans="1:6">
      <c r="A96" s="73">
        <v>94</v>
      </c>
      <c r="B96" s="77" t="s">
        <v>433</v>
      </c>
      <c r="C96" s="73" t="s">
        <v>339</v>
      </c>
      <c r="D96" s="73">
        <v>2</v>
      </c>
      <c r="E96" s="75">
        <v>179.9</v>
      </c>
      <c r="F96" s="76">
        <f t="shared" si="2"/>
        <v>359.8</v>
      </c>
    </row>
    <row r="97" ht="105" spans="1:6">
      <c r="A97" s="73">
        <v>95</v>
      </c>
      <c r="B97" s="77" t="s">
        <v>434</v>
      </c>
      <c r="C97" s="73" t="s">
        <v>339</v>
      </c>
      <c r="D97" s="73">
        <v>2</v>
      </c>
      <c r="E97" s="75">
        <v>318.56</v>
      </c>
      <c r="F97" s="76">
        <f t="shared" si="2"/>
        <v>637.12</v>
      </c>
    </row>
    <row r="98" ht="135" spans="1:6">
      <c r="A98" s="73">
        <v>96</v>
      </c>
      <c r="B98" s="77" t="s">
        <v>435</v>
      </c>
      <c r="C98" s="73" t="s">
        <v>339</v>
      </c>
      <c r="D98" s="73">
        <v>2</v>
      </c>
      <c r="E98" s="75">
        <v>325.77</v>
      </c>
      <c r="F98" s="76">
        <f t="shared" si="2"/>
        <v>651.54</v>
      </c>
    </row>
    <row r="99" ht="105" spans="1:6">
      <c r="A99" s="73">
        <v>97</v>
      </c>
      <c r="B99" s="77" t="s">
        <v>436</v>
      </c>
      <c r="C99" s="73" t="s">
        <v>339</v>
      </c>
      <c r="D99" s="73">
        <v>3</v>
      </c>
      <c r="E99" s="75">
        <v>138.83</v>
      </c>
      <c r="F99" s="76">
        <f t="shared" si="2"/>
        <v>416.49</v>
      </c>
    </row>
    <row r="100" ht="105" spans="1:6">
      <c r="A100" s="73">
        <v>98</v>
      </c>
      <c r="B100" s="77" t="s">
        <v>437</v>
      </c>
      <c r="C100" s="73" t="s">
        <v>339</v>
      </c>
      <c r="D100" s="73">
        <v>4</v>
      </c>
      <c r="E100" s="75">
        <v>552.63</v>
      </c>
      <c r="F100" s="76">
        <f t="shared" si="2"/>
        <v>2210.52</v>
      </c>
    </row>
    <row r="101" ht="60" spans="1:6">
      <c r="A101" s="73">
        <v>99</v>
      </c>
      <c r="B101" s="77" t="s">
        <v>438</v>
      </c>
      <c r="C101" s="73" t="s">
        <v>339</v>
      </c>
      <c r="D101" s="73">
        <v>1</v>
      </c>
      <c r="E101" s="75">
        <v>189.12</v>
      </c>
      <c r="F101" s="76">
        <f t="shared" si="2"/>
        <v>189.12</v>
      </c>
    </row>
    <row r="102" ht="45" spans="1:6">
      <c r="A102" s="73">
        <v>100</v>
      </c>
      <c r="B102" s="77" t="s">
        <v>439</v>
      </c>
      <c r="C102" s="73" t="s">
        <v>339</v>
      </c>
      <c r="D102" s="73">
        <v>1</v>
      </c>
      <c r="E102" s="75">
        <v>205.9</v>
      </c>
      <c r="F102" s="76">
        <f t="shared" si="2"/>
        <v>205.9</v>
      </c>
    </row>
    <row r="103" ht="45" spans="1:6">
      <c r="A103" s="73">
        <v>101</v>
      </c>
      <c r="B103" s="77" t="s">
        <v>440</v>
      </c>
      <c r="C103" s="73" t="s">
        <v>339</v>
      </c>
      <c r="D103" s="73">
        <v>2</v>
      </c>
      <c r="E103" s="75">
        <v>104.66</v>
      </c>
      <c r="F103" s="76">
        <f t="shared" si="2"/>
        <v>209.32</v>
      </c>
    </row>
    <row r="104" ht="60" spans="1:6">
      <c r="A104" s="73">
        <v>102</v>
      </c>
      <c r="B104" s="77" t="s">
        <v>441</v>
      </c>
      <c r="C104" s="73" t="s">
        <v>339</v>
      </c>
      <c r="D104" s="73">
        <v>3</v>
      </c>
      <c r="E104" s="75">
        <v>203.56</v>
      </c>
      <c r="F104" s="76">
        <f t="shared" si="2"/>
        <v>610.68</v>
      </c>
    </row>
    <row r="105" ht="75" spans="1:6">
      <c r="A105" s="73">
        <v>103</v>
      </c>
      <c r="B105" s="77" t="s">
        <v>442</v>
      </c>
      <c r="C105" s="73" t="s">
        <v>339</v>
      </c>
      <c r="D105" s="73">
        <v>4</v>
      </c>
      <c r="E105" s="75">
        <v>47.9</v>
      </c>
      <c r="F105" s="76">
        <f t="shared" si="2"/>
        <v>191.6</v>
      </c>
    </row>
    <row r="106" ht="45" spans="1:6">
      <c r="A106" s="73">
        <v>104</v>
      </c>
      <c r="B106" s="77" t="s">
        <v>443</v>
      </c>
      <c r="C106" s="73" t="s">
        <v>339</v>
      </c>
      <c r="D106" s="73">
        <v>4</v>
      </c>
      <c r="E106" s="75">
        <v>20.47</v>
      </c>
      <c r="F106" s="76">
        <f t="shared" si="2"/>
        <v>81.88</v>
      </c>
    </row>
    <row r="107" ht="60" spans="1:6">
      <c r="A107" s="73">
        <v>105</v>
      </c>
      <c r="B107" s="77" t="s">
        <v>444</v>
      </c>
      <c r="C107" s="73" t="s">
        <v>339</v>
      </c>
      <c r="D107" s="73">
        <v>6</v>
      </c>
      <c r="E107" s="75">
        <v>25.02</v>
      </c>
      <c r="F107" s="76">
        <f t="shared" si="2"/>
        <v>150.12</v>
      </c>
    </row>
    <row r="108" ht="60" spans="1:6">
      <c r="A108" s="73">
        <v>106</v>
      </c>
      <c r="B108" s="77" t="s">
        <v>445</v>
      </c>
      <c r="C108" s="73" t="s">
        <v>339</v>
      </c>
      <c r="D108" s="73">
        <v>6</v>
      </c>
      <c r="E108" s="75">
        <v>16.08</v>
      </c>
      <c r="F108" s="76">
        <f t="shared" si="2"/>
        <v>96.48</v>
      </c>
    </row>
    <row r="109" ht="75" spans="1:6">
      <c r="A109" s="73">
        <v>107</v>
      </c>
      <c r="B109" s="77" t="s">
        <v>446</v>
      </c>
      <c r="C109" s="73" t="s">
        <v>339</v>
      </c>
      <c r="D109" s="73">
        <v>2</v>
      </c>
      <c r="E109" s="75">
        <v>190.64</v>
      </c>
      <c r="F109" s="76">
        <f t="shared" si="2"/>
        <v>381.28</v>
      </c>
    </row>
    <row r="110" ht="150" spans="1:6">
      <c r="A110" s="73">
        <v>108</v>
      </c>
      <c r="B110" s="77" t="s">
        <v>447</v>
      </c>
      <c r="C110" s="73" t="s">
        <v>339</v>
      </c>
      <c r="D110" s="73">
        <v>3</v>
      </c>
      <c r="E110" s="75">
        <v>171.93</v>
      </c>
      <c r="F110" s="76">
        <f t="shared" si="2"/>
        <v>515.79</v>
      </c>
    </row>
    <row r="111" spans="1:6">
      <c r="A111" s="78" t="s">
        <v>314</v>
      </c>
      <c r="B111" s="78"/>
      <c r="C111" s="78"/>
      <c r="D111" s="78"/>
      <c r="E111" s="79">
        <f>TRUNC(SUM(F3:F110),2)</f>
        <v>27056.55</v>
      </c>
      <c r="F111" s="79"/>
    </row>
    <row r="112" spans="1:6">
      <c r="A112" s="78" t="s">
        <v>448</v>
      </c>
      <c r="B112" s="78"/>
      <c r="C112" s="78"/>
      <c r="D112" s="78"/>
      <c r="E112" s="78">
        <v>14</v>
      </c>
      <c r="F112" s="78"/>
    </row>
    <row r="113" spans="1:6">
      <c r="A113" s="78" t="s">
        <v>334</v>
      </c>
      <c r="B113" s="78"/>
      <c r="C113" s="78"/>
      <c r="D113" s="78"/>
      <c r="E113" s="79">
        <f>TRUNC((E111/E112)/12,2)</f>
        <v>161.05</v>
      </c>
      <c r="F113" s="79"/>
    </row>
    <row r="117" spans="1:6">
      <c r="A117" s="80" t="s">
        <v>449</v>
      </c>
      <c r="B117" s="80"/>
      <c r="C117" s="80"/>
      <c r="D117" s="80"/>
      <c r="E117" s="80"/>
      <c r="F117" s="80"/>
    </row>
    <row r="118" ht="30" spans="1:6">
      <c r="A118" s="81" t="s">
        <v>254</v>
      </c>
      <c r="B118" s="81" t="s">
        <v>256</v>
      </c>
      <c r="C118" s="81" t="s">
        <v>257</v>
      </c>
      <c r="D118" s="82" t="s">
        <v>336</v>
      </c>
      <c r="E118" s="83" t="s">
        <v>313</v>
      </c>
      <c r="F118" s="83" t="s">
        <v>314</v>
      </c>
    </row>
    <row r="119" ht="75" spans="1:6">
      <c r="A119" s="73">
        <v>1</v>
      </c>
      <c r="B119" s="77" t="s">
        <v>450</v>
      </c>
      <c r="C119" s="73" t="s">
        <v>339</v>
      </c>
      <c r="D119" s="73">
        <v>1</v>
      </c>
      <c r="E119" s="75">
        <v>1053.97</v>
      </c>
      <c r="F119" s="76">
        <f>TRUNC(E119*D119,2)</f>
        <v>1053.97</v>
      </c>
    </row>
    <row r="120" ht="60" spans="1:6">
      <c r="A120" s="73">
        <v>2</v>
      </c>
      <c r="B120" s="77" t="s">
        <v>451</v>
      </c>
      <c r="C120" s="73" t="s">
        <v>339</v>
      </c>
      <c r="D120" s="73">
        <v>20</v>
      </c>
      <c r="E120" s="75">
        <v>200.14</v>
      </c>
      <c r="F120" s="76">
        <f t="shared" ref="F120:F138" si="3">TRUNC(E120*D120,2)</f>
        <v>4002.8</v>
      </c>
    </row>
    <row r="121" ht="165" spans="1:6">
      <c r="A121" s="73">
        <v>3</v>
      </c>
      <c r="B121" s="77" t="s">
        <v>452</v>
      </c>
      <c r="C121" s="73" t="s">
        <v>339</v>
      </c>
      <c r="D121" s="73">
        <v>2</v>
      </c>
      <c r="E121" s="75">
        <v>729.07</v>
      </c>
      <c r="F121" s="76">
        <f t="shared" si="3"/>
        <v>1458.14</v>
      </c>
    </row>
    <row r="122" ht="150" spans="1:6">
      <c r="A122" s="73">
        <v>4</v>
      </c>
      <c r="B122" s="77" t="s">
        <v>453</v>
      </c>
      <c r="C122" s="73" t="s">
        <v>339</v>
      </c>
      <c r="D122" s="73">
        <v>4</v>
      </c>
      <c r="E122" s="75">
        <v>829</v>
      </c>
      <c r="F122" s="76">
        <f t="shared" si="3"/>
        <v>3316</v>
      </c>
    </row>
    <row r="123" ht="45" spans="1:6">
      <c r="A123" s="73">
        <v>5</v>
      </c>
      <c r="B123" s="77" t="s">
        <v>454</v>
      </c>
      <c r="C123" s="73" t="s">
        <v>339</v>
      </c>
      <c r="D123" s="73">
        <v>3</v>
      </c>
      <c r="E123" s="75">
        <v>341.65</v>
      </c>
      <c r="F123" s="76">
        <f t="shared" si="3"/>
        <v>1024.95</v>
      </c>
    </row>
    <row r="124" ht="90" spans="1:6">
      <c r="A124" s="73">
        <v>6</v>
      </c>
      <c r="B124" s="77" t="s">
        <v>455</v>
      </c>
      <c r="C124" s="73" t="s">
        <v>339</v>
      </c>
      <c r="D124" s="73">
        <v>3</v>
      </c>
      <c r="E124" s="75">
        <v>315.57</v>
      </c>
      <c r="F124" s="76">
        <f t="shared" si="3"/>
        <v>946.71</v>
      </c>
    </row>
    <row r="125" ht="60" spans="1:6">
      <c r="A125" s="73">
        <v>7</v>
      </c>
      <c r="B125" s="77" t="s">
        <v>456</v>
      </c>
      <c r="C125" s="73" t="s">
        <v>339</v>
      </c>
      <c r="D125" s="73">
        <v>4</v>
      </c>
      <c r="E125" s="75">
        <v>411.37</v>
      </c>
      <c r="F125" s="76">
        <f t="shared" si="3"/>
        <v>1645.48</v>
      </c>
    </row>
    <row r="126" ht="60" spans="1:6">
      <c r="A126" s="73">
        <v>8</v>
      </c>
      <c r="B126" s="77" t="s">
        <v>457</v>
      </c>
      <c r="C126" s="73" t="s">
        <v>339</v>
      </c>
      <c r="D126" s="73">
        <v>4</v>
      </c>
      <c r="E126" s="75">
        <v>459.9</v>
      </c>
      <c r="F126" s="76">
        <f t="shared" si="3"/>
        <v>1839.6</v>
      </c>
    </row>
    <row r="127" ht="60" spans="1:6">
      <c r="A127" s="73">
        <v>9</v>
      </c>
      <c r="B127" s="77" t="s">
        <v>458</v>
      </c>
      <c r="C127" s="73" t="s">
        <v>339</v>
      </c>
      <c r="D127" s="73">
        <v>3</v>
      </c>
      <c r="E127" s="75">
        <v>370.77</v>
      </c>
      <c r="F127" s="76">
        <f t="shared" si="3"/>
        <v>1112.31</v>
      </c>
    </row>
    <row r="128" ht="60" spans="1:6">
      <c r="A128" s="73">
        <v>10</v>
      </c>
      <c r="B128" s="77" t="s">
        <v>459</v>
      </c>
      <c r="C128" s="73" t="s">
        <v>339</v>
      </c>
      <c r="D128" s="73">
        <v>4</v>
      </c>
      <c r="E128" s="75">
        <v>369.53</v>
      </c>
      <c r="F128" s="76">
        <f t="shared" si="3"/>
        <v>1478.12</v>
      </c>
    </row>
    <row r="129" ht="90" spans="1:6">
      <c r="A129" s="73">
        <v>11</v>
      </c>
      <c r="B129" s="77" t="s">
        <v>460</v>
      </c>
      <c r="C129" s="73" t="s">
        <v>339</v>
      </c>
      <c r="D129" s="73">
        <v>4</v>
      </c>
      <c r="E129" s="75">
        <v>306.98</v>
      </c>
      <c r="F129" s="76">
        <f t="shared" si="3"/>
        <v>1227.92</v>
      </c>
    </row>
    <row r="130" ht="165" spans="1:6">
      <c r="A130" s="73">
        <v>12</v>
      </c>
      <c r="B130" s="77" t="s">
        <v>461</v>
      </c>
      <c r="C130" s="73" t="s">
        <v>339</v>
      </c>
      <c r="D130" s="73">
        <v>2</v>
      </c>
      <c r="E130" s="75">
        <v>972.29</v>
      </c>
      <c r="F130" s="76">
        <f t="shared" si="3"/>
        <v>1944.58</v>
      </c>
    </row>
    <row r="131" ht="75" spans="1:6">
      <c r="A131" s="73">
        <v>13</v>
      </c>
      <c r="B131" s="77" t="s">
        <v>462</v>
      </c>
      <c r="C131" s="73" t="s">
        <v>339</v>
      </c>
      <c r="D131" s="73">
        <v>2</v>
      </c>
      <c r="E131" s="75">
        <v>225.95</v>
      </c>
      <c r="F131" s="76">
        <f t="shared" si="3"/>
        <v>451.9</v>
      </c>
    </row>
    <row r="132" ht="165" spans="1:6">
      <c r="A132" s="73">
        <v>14</v>
      </c>
      <c r="B132" s="77" t="s">
        <v>463</v>
      </c>
      <c r="C132" s="73" t="s">
        <v>339</v>
      </c>
      <c r="D132" s="73">
        <v>2</v>
      </c>
      <c r="E132" s="75">
        <v>343.8</v>
      </c>
      <c r="F132" s="76">
        <f t="shared" si="3"/>
        <v>687.6</v>
      </c>
    </row>
    <row r="133" ht="135" spans="1:6">
      <c r="A133" s="73">
        <v>15</v>
      </c>
      <c r="B133" s="77" t="s">
        <v>464</v>
      </c>
      <c r="C133" s="73" t="s">
        <v>339</v>
      </c>
      <c r="D133" s="73">
        <v>2</v>
      </c>
      <c r="E133" s="75">
        <v>247.77</v>
      </c>
      <c r="F133" s="76">
        <f t="shared" si="3"/>
        <v>495.54</v>
      </c>
    </row>
    <row r="134" ht="225" spans="1:6">
      <c r="A134" s="73">
        <v>16</v>
      </c>
      <c r="B134" s="77" t="s">
        <v>465</v>
      </c>
      <c r="C134" s="73" t="s">
        <v>339</v>
      </c>
      <c r="D134" s="73">
        <v>4</v>
      </c>
      <c r="E134" s="75">
        <v>332.61</v>
      </c>
      <c r="F134" s="76">
        <f t="shared" si="3"/>
        <v>1330.44</v>
      </c>
    </row>
    <row r="135" ht="90" spans="1:6">
      <c r="A135" s="73">
        <v>17</v>
      </c>
      <c r="B135" s="77" t="s">
        <v>466</v>
      </c>
      <c r="C135" s="73" t="s">
        <v>339</v>
      </c>
      <c r="D135" s="73">
        <v>3</v>
      </c>
      <c r="E135" s="75">
        <v>156.47</v>
      </c>
      <c r="F135" s="76">
        <f t="shared" si="3"/>
        <v>469.41</v>
      </c>
    </row>
    <row r="136" ht="90" spans="1:6">
      <c r="A136" s="73">
        <v>18</v>
      </c>
      <c r="B136" s="77" t="s">
        <v>467</v>
      </c>
      <c r="C136" s="73" t="s">
        <v>339</v>
      </c>
      <c r="D136" s="73">
        <v>2</v>
      </c>
      <c r="E136" s="75">
        <v>773.11</v>
      </c>
      <c r="F136" s="76">
        <f t="shared" si="3"/>
        <v>1546.22</v>
      </c>
    </row>
    <row r="137" ht="195" spans="1:6">
      <c r="A137" s="73">
        <v>19</v>
      </c>
      <c r="B137" s="77" t="s">
        <v>468</v>
      </c>
      <c r="C137" s="73" t="s">
        <v>339</v>
      </c>
      <c r="D137" s="73">
        <v>2</v>
      </c>
      <c r="E137" s="75">
        <v>1359.54</v>
      </c>
      <c r="F137" s="76">
        <f t="shared" si="3"/>
        <v>2719.08</v>
      </c>
    </row>
    <row r="138" ht="165" spans="1:6">
      <c r="A138" s="73">
        <v>20</v>
      </c>
      <c r="B138" s="74" t="s">
        <v>469</v>
      </c>
      <c r="C138" s="73" t="s">
        <v>339</v>
      </c>
      <c r="D138" s="73">
        <v>2</v>
      </c>
      <c r="E138" s="75">
        <v>1108.46</v>
      </c>
      <c r="F138" s="76">
        <f t="shared" si="3"/>
        <v>2216.92</v>
      </c>
    </row>
    <row r="139" spans="1:6">
      <c r="A139" s="84" t="s">
        <v>58</v>
      </c>
      <c r="B139" s="85"/>
      <c r="C139" s="5"/>
      <c r="E139" s="5"/>
      <c r="F139" s="86">
        <f>SUBTOTAL(109,Table44[VALOR TOTAL])</f>
        <v>30967.69</v>
      </c>
    </row>
    <row r="140" spans="1:6">
      <c r="A140" s="87" t="s">
        <v>470</v>
      </c>
      <c r="B140" s="88"/>
      <c r="C140" s="88"/>
      <c r="D140" s="88"/>
      <c r="E140" s="89"/>
      <c r="F140" s="90">
        <f>Table44[[#Totals],[VALOR TOTAL]]*0.5%</f>
        <v>154.83845</v>
      </c>
    </row>
    <row r="141" spans="1:6">
      <c r="A141" s="91" t="s">
        <v>471</v>
      </c>
      <c r="B141" s="91"/>
      <c r="C141" s="91"/>
      <c r="D141" s="91"/>
      <c r="E141" s="91"/>
      <c r="F141" s="92">
        <f>Table44[[#Totals],[VALOR TOTAL]]*(1-0.2)/(12*8)</f>
        <v>258.064083333333</v>
      </c>
    </row>
    <row r="142" spans="1:6">
      <c r="A142" s="91" t="s">
        <v>472</v>
      </c>
      <c r="B142" s="91"/>
      <c r="C142" s="91"/>
      <c r="D142" s="91"/>
      <c r="E142" s="91"/>
      <c r="F142" s="92">
        <f>F140+F141</f>
        <v>412.902533333333</v>
      </c>
    </row>
    <row r="143" spans="1:6">
      <c r="A143" s="91" t="s">
        <v>448</v>
      </c>
      <c r="B143" s="91"/>
      <c r="C143" s="91"/>
      <c r="D143" s="91"/>
      <c r="E143" s="91"/>
      <c r="F143" s="93">
        <v>14</v>
      </c>
    </row>
    <row r="144" spans="1:6">
      <c r="A144" s="91" t="s">
        <v>334</v>
      </c>
      <c r="B144" s="91"/>
      <c r="C144" s="91"/>
      <c r="D144" s="91"/>
      <c r="E144" s="91"/>
      <c r="F144" s="92">
        <f>TRUNC(F142/F143,2)</f>
        <v>29.49</v>
      </c>
    </row>
    <row r="145" spans="1:6">
      <c r="A145" s="15"/>
      <c r="B145" s="15"/>
      <c r="C145" s="15"/>
      <c r="D145" s="15"/>
      <c r="E145" s="15"/>
      <c r="F145" s="15"/>
    </row>
    <row r="146" spans="1:6">
      <c r="A146" s="94" t="s">
        <v>473</v>
      </c>
      <c r="B146" s="95"/>
      <c r="C146" s="95"/>
      <c r="D146" s="95"/>
      <c r="E146" s="95"/>
      <c r="F146" s="95"/>
    </row>
    <row r="147" spans="1:6">
      <c r="A147" s="95"/>
      <c r="B147" s="95"/>
      <c r="C147" s="95"/>
      <c r="D147" s="95"/>
      <c r="E147" s="95"/>
      <c r="F147" s="95"/>
    </row>
    <row r="148" spans="1:6">
      <c r="A148" s="95"/>
      <c r="B148" s="95"/>
      <c r="C148" s="95"/>
      <c r="D148" s="95"/>
      <c r="E148" s="95"/>
      <c r="F148" s="95"/>
    </row>
    <row r="149" spans="1:6">
      <c r="A149" s="95"/>
      <c r="B149" s="95"/>
      <c r="C149" s="95"/>
      <c r="D149" s="95"/>
      <c r="E149" s="95"/>
      <c r="F149" s="95"/>
    </row>
    <row r="150" spans="1:6">
      <c r="A150" s="95"/>
      <c r="B150" s="95"/>
      <c r="C150" s="95"/>
      <c r="D150" s="95"/>
      <c r="E150" s="95"/>
      <c r="F150" s="95"/>
    </row>
    <row r="151" spans="1:6">
      <c r="A151" s="95"/>
      <c r="B151" s="95"/>
      <c r="C151" s="95"/>
      <c r="D151" s="95"/>
      <c r="E151" s="95"/>
      <c r="F151" s="95"/>
    </row>
    <row r="152" spans="1:6">
      <c r="A152" s="95"/>
      <c r="B152" s="95"/>
      <c r="C152" s="95"/>
      <c r="D152" s="95"/>
      <c r="E152" s="95"/>
      <c r="F152" s="95"/>
    </row>
    <row r="153" spans="1:6">
      <c r="A153" s="95"/>
      <c r="B153" s="95"/>
      <c r="C153" s="95"/>
      <c r="D153" s="95"/>
      <c r="E153" s="95"/>
      <c r="F153" s="95"/>
    </row>
    <row r="154" spans="1:6">
      <c r="A154" s="95"/>
      <c r="B154" s="95"/>
      <c r="C154" s="95"/>
      <c r="D154" s="95"/>
      <c r="E154" s="95"/>
      <c r="F154" s="95"/>
    </row>
    <row r="155" spans="1:6">
      <c r="A155" s="95"/>
      <c r="B155" s="95"/>
      <c r="C155" s="95"/>
      <c r="D155" s="95"/>
      <c r="E155" s="95"/>
      <c r="F155" s="95"/>
    </row>
  </sheetData>
  <mergeCells count="14">
    <mergeCell ref="A1:F1"/>
    <mergeCell ref="A111:D111"/>
    <mergeCell ref="E111:F111"/>
    <mergeCell ref="A112:D112"/>
    <mergeCell ref="E112:F112"/>
    <mergeCell ref="A113:D113"/>
    <mergeCell ref="E113:F113"/>
    <mergeCell ref="A117:F117"/>
    <mergeCell ref="A140:E140"/>
    <mergeCell ref="A141:E141"/>
    <mergeCell ref="A142:E142"/>
    <mergeCell ref="A143:E143"/>
    <mergeCell ref="A144:E144"/>
    <mergeCell ref="A146:F155"/>
  </mergeCells>
  <pageMargins left="0.75" right="0.75" top="1" bottom="1" header="0.5" footer="0.5"/>
  <pageSetup paperSize="9" orientation="landscape"/>
  <headerFooter/>
  <tableParts count="1">
    <tablePart r:id="rId1"/>
  </tablePar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H22"/>
  <sheetViews>
    <sheetView workbookViewId="0">
      <selection activeCell="G34" sqref="G34"/>
    </sheetView>
  </sheetViews>
  <sheetFormatPr defaultColWidth="9.14285714285714" defaultRowHeight="15" outlineLevelCol="7"/>
  <cols>
    <col min="2" max="2" width="30.8571428571429" customWidth="1"/>
    <col min="3" max="3" width="29.2857142857143" customWidth="1"/>
    <col min="4" max="4" width="19.4285714285714" customWidth="1"/>
    <col min="5" max="5" width="19.8571428571429" customWidth="1"/>
    <col min="7" max="7" width="23.8571428571429" customWidth="1"/>
    <col min="8" max="8" width="11" customWidth="1"/>
  </cols>
  <sheetData>
    <row r="1" ht="16.5" spans="2:8">
      <c r="B1" s="12" t="s">
        <v>474</v>
      </c>
      <c r="C1" s="13"/>
      <c r="D1" s="13"/>
      <c r="E1" s="14"/>
      <c r="F1" s="15"/>
      <c r="G1" s="15"/>
      <c r="H1" s="15"/>
    </row>
    <row r="2" ht="33" spans="2:8">
      <c r="B2" s="16" t="s">
        <v>475</v>
      </c>
      <c r="C2" s="17" t="s">
        <v>313</v>
      </c>
      <c r="D2" s="18" t="s">
        <v>476</v>
      </c>
      <c r="E2" s="19"/>
      <c r="F2" s="15"/>
      <c r="G2" s="15"/>
      <c r="H2" s="15"/>
    </row>
    <row r="3" ht="17.25" spans="2:8">
      <c r="B3" s="20" t="s">
        <v>477</v>
      </c>
      <c r="C3" s="21" t="s">
        <v>478</v>
      </c>
      <c r="D3" s="22" t="s">
        <v>479</v>
      </c>
      <c r="E3" s="23"/>
      <c r="F3" s="15"/>
      <c r="G3" s="15"/>
      <c r="H3" s="15"/>
    </row>
    <row r="4" ht="17.25" spans="2:8">
      <c r="B4" s="24">
        <f>RESUMO!D12</f>
        <v>400</v>
      </c>
      <c r="C4" s="25">
        <v>190.91</v>
      </c>
      <c r="D4" s="26">
        <v>22909.2</v>
      </c>
      <c r="E4" s="27"/>
      <c r="F4" s="15"/>
      <c r="G4" s="28"/>
      <c r="H4" s="28"/>
    </row>
    <row r="5" ht="17.25" spans="2:8">
      <c r="B5" s="29"/>
      <c r="C5" s="30"/>
      <c r="D5" s="30"/>
      <c r="E5" s="31"/>
      <c r="F5" s="15"/>
      <c r="G5" s="32" t="s">
        <v>224</v>
      </c>
      <c r="H5" s="33"/>
    </row>
    <row r="6" ht="17.25" spans="2:8">
      <c r="B6" s="29"/>
      <c r="C6" s="30"/>
      <c r="D6" s="30"/>
      <c r="E6" s="31"/>
      <c r="F6" s="15"/>
      <c r="G6" s="34" t="s">
        <v>225</v>
      </c>
      <c r="H6" s="35">
        <v>0.0865</v>
      </c>
    </row>
    <row r="7" ht="16.5" spans="2:8">
      <c r="B7" s="12" t="s">
        <v>480</v>
      </c>
      <c r="C7" s="13"/>
      <c r="D7" s="13"/>
      <c r="E7" s="14"/>
      <c r="F7" s="15"/>
      <c r="G7" s="36" t="s">
        <v>481</v>
      </c>
      <c r="H7" s="37">
        <v>174.4</v>
      </c>
    </row>
    <row r="8" ht="17.25" spans="2:8">
      <c r="B8" s="17" t="s">
        <v>482</v>
      </c>
      <c r="C8" s="17"/>
      <c r="D8" s="17"/>
      <c r="E8" s="38">
        <v>160</v>
      </c>
      <c r="F8" s="15"/>
      <c r="G8" s="34" t="s">
        <v>483</v>
      </c>
      <c r="H8" s="39">
        <v>0.9135</v>
      </c>
    </row>
    <row r="9" ht="16.5" spans="2:8">
      <c r="B9" s="40" t="s">
        <v>484</v>
      </c>
      <c r="C9" s="41"/>
      <c r="D9" s="42" t="s">
        <v>485</v>
      </c>
      <c r="E9" s="43" t="s">
        <v>486</v>
      </c>
      <c r="F9" s="15"/>
      <c r="G9" s="44"/>
      <c r="H9" s="44"/>
    </row>
    <row r="10" ht="15.75" spans="2:8">
      <c r="B10" s="45" t="s">
        <v>487</v>
      </c>
      <c r="C10" s="46"/>
      <c r="D10" s="47">
        <v>0.05</v>
      </c>
      <c r="E10" s="48">
        <v>6.4</v>
      </c>
      <c r="F10" s="15"/>
      <c r="G10" s="44"/>
      <c r="H10" s="44"/>
    </row>
    <row r="11" ht="16.5" spans="2:8">
      <c r="B11" s="49" t="s">
        <v>488</v>
      </c>
      <c r="C11" s="50"/>
      <c r="D11" s="47">
        <v>0.0462</v>
      </c>
      <c r="E11" s="48">
        <v>8</v>
      </c>
      <c r="F11" s="15"/>
      <c r="G11" s="28"/>
      <c r="H11" s="28"/>
    </row>
    <row r="12" ht="17.25" spans="2:8">
      <c r="B12" s="51" t="s">
        <v>489</v>
      </c>
      <c r="C12" s="18"/>
      <c r="D12" s="19"/>
      <c r="E12" s="52">
        <v>14.4</v>
      </c>
      <c r="F12" s="15"/>
      <c r="G12" s="28"/>
      <c r="H12" s="28"/>
    </row>
    <row r="13" ht="17.25" spans="2:8">
      <c r="B13" s="53" t="s">
        <v>204</v>
      </c>
      <c r="C13" s="54"/>
      <c r="D13" s="55"/>
      <c r="E13" s="52">
        <v>174.4</v>
      </c>
      <c r="F13" s="15"/>
      <c r="G13" s="28"/>
      <c r="H13" s="28"/>
    </row>
    <row r="14" ht="16.5" spans="2:8">
      <c r="B14" s="56" t="s">
        <v>490</v>
      </c>
      <c r="C14" s="57"/>
      <c r="D14" s="58" t="s">
        <v>485</v>
      </c>
      <c r="E14" s="59" t="s">
        <v>491</v>
      </c>
      <c r="F14" s="15"/>
      <c r="G14" s="15"/>
      <c r="H14" s="15"/>
    </row>
    <row r="15" ht="15.75" spans="2:8">
      <c r="B15" s="45" t="s">
        <v>64</v>
      </c>
      <c r="C15" s="46"/>
      <c r="D15" s="47">
        <v>0.0065</v>
      </c>
      <c r="E15" s="48">
        <v>1.24094143404488</v>
      </c>
      <c r="F15" s="15"/>
      <c r="G15" s="15"/>
      <c r="H15" s="15"/>
    </row>
    <row r="16" ht="15.75" spans="2:8">
      <c r="B16" s="49" t="s">
        <v>62</v>
      </c>
      <c r="C16" s="50"/>
      <c r="D16" s="47">
        <v>0.03</v>
      </c>
      <c r="E16" s="48">
        <v>5.72742200328407</v>
      </c>
      <c r="F16" s="15"/>
      <c r="G16" s="15"/>
      <c r="H16" s="15"/>
    </row>
    <row r="17" ht="15.75" spans="2:8">
      <c r="B17" s="45" t="s">
        <v>60</v>
      </c>
      <c r="C17" s="46"/>
      <c r="D17" s="47">
        <v>0.05</v>
      </c>
      <c r="E17" s="60">
        <v>9.54570333880679</v>
      </c>
      <c r="F17" s="15"/>
      <c r="G17" s="15"/>
      <c r="H17" s="15"/>
    </row>
    <row r="18" ht="16.5" spans="2:8">
      <c r="B18" s="61" t="s">
        <v>225</v>
      </c>
      <c r="C18" s="62"/>
      <c r="D18" s="63">
        <v>0.0865</v>
      </c>
      <c r="E18" s="64">
        <v>16.5140667761357</v>
      </c>
      <c r="F18" s="15"/>
      <c r="G18" s="15"/>
      <c r="H18" s="15"/>
    </row>
    <row r="19" ht="17.25" spans="2:8">
      <c r="B19" s="65" t="s">
        <v>204</v>
      </c>
      <c r="C19" s="66"/>
      <c r="D19" s="67"/>
      <c r="E19" s="68">
        <v>190.91</v>
      </c>
      <c r="F19" s="15"/>
      <c r="G19" s="15"/>
      <c r="H19" s="15"/>
    </row>
    <row r="20" ht="15.75" spans="2:8">
      <c r="B20" s="69"/>
      <c r="C20" s="69"/>
      <c r="D20" s="69"/>
      <c r="E20" s="69"/>
      <c r="F20" s="15"/>
      <c r="G20" s="15"/>
      <c r="H20" s="15"/>
    </row>
    <row r="21" spans="2:8">
      <c r="B21" s="70" t="s">
        <v>492</v>
      </c>
      <c r="C21" s="70"/>
      <c r="D21" s="70"/>
      <c r="E21" s="70"/>
      <c r="F21" s="15"/>
      <c r="G21" s="15"/>
      <c r="H21" s="15"/>
    </row>
    <row r="22" spans="2:8">
      <c r="B22" s="70" t="s">
        <v>493</v>
      </c>
      <c r="C22" s="70"/>
      <c r="D22" s="70"/>
      <c r="E22" s="70"/>
      <c r="F22" s="15"/>
      <c r="G22" s="15"/>
      <c r="H22" s="15"/>
    </row>
  </sheetData>
  <mergeCells count="20">
    <mergeCell ref="B1:E1"/>
    <mergeCell ref="D2:E2"/>
    <mergeCell ref="D3:E3"/>
    <mergeCell ref="D4:E4"/>
    <mergeCell ref="G5:H5"/>
    <mergeCell ref="B7:E7"/>
    <mergeCell ref="B8:D8"/>
    <mergeCell ref="B9:C9"/>
    <mergeCell ref="B10:C10"/>
    <mergeCell ref="B11:C11"/>
    <mergeCell ref="B12:D12"/>
    <mergeCell ref="B13:D13"/>
    <mergeCell ref="B14:C14"/>
    <mergeCell ref="B15:C15"/>
    <mergeCell ref="B16:C16"/>
    <mergeCell ref="B17:C17"/>
    <mergeCell ref="B18:C18"/>
    <mergeCell ref="B19:D19"/>
    <mergeCell ref="B21:E21"/>
    <mergeCell ref="B22:E22"/>
  </mergeCells>
  <pageMargins left="0.75" right="0.75" top="1" bottom="1" header="0.5" footer="0.5"/>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
  <sheetViews>
    <sheetView tabSelected="1" topLeftCell="A6" workbookViewId="0">
      <selection activeCell="I10" sqref="I10"/>
    </sheetView>
  </sheetViews>
  <sheetFormatPr defaultColWidth="9.14285714285714" defaultRowHeight="15"/>
  <cols>
    <col min="1" max="1" width="7.14285714285714" customWidth="1"/>
    <col min="2" max="2" width="36.4285714285714" customWidth="1"/>
    <col min="3" max="3" width="11.5714285714286" customWidth="1"/>
    <col min="4" max="4" width="12.5714285714286" customWidth="1"/>
    <col min="5" max="5" width="13.2857142857143" customWidth="1"/>
    <col min="6" max="6" width="14.8571428571429" customWidth="1"/>
    <col min="7" max="7" width="14.5714285714286" customWidth="1"/>
  </cols>
  <sheetData>
    <row r="1" ht="15.75" spans="1:7">
      <c r="A1" s="1" t="s">
        <v>494</v>
      </c>
      <c r="B1" s="2"/>
      <c r="C1" s="2"/>
      <c r="D1" s="2"/>
      <c r="E1" s="2"/>
      <c r="F1" s="2"/>
      <c r="G1" s="3"/>
    </row>
    <row r="2" ht="60.75" spans="1:7">
      <c r="A2" s="4" t="s">
        <v>16</v>
      </c>
      <c r="B2" s="4" t="s">
        <v>17</v>
      </c>
      <c r="C2" s="4" t="s">
        <v>264</v>
      </c>
      <c r="D2" s="4" t="s">
        <v>495</v>
      </c>
      <c r="E2" s="4" t="s">
        <v>496</v>
      </c>
      <c r="F2" s="4" t="s">
        <v>497</v>
      </c>
      <c r="G2" s="4" t="s">
        <v>498</v>
      </c>
    </row>
    <row r="3" ht="60" spans="1:11">
      <c r="A3" s="5">
        <v>1</v>
      </c>
      <c r="B3" s="6" t="s">
        <v>499</v>
      </c>
      <c r="C3" s="4" t="s">
        <v>500</v>
      </c>
      <c r="D3" s="5">
        <v>1</v>
      </c>
      <c r="E3" s="5">
        <v>12</v>
      </c>
      <c r="F3" s="7">
        <f>Pedreiro!D148</f>
        <v>4778.95</v>
      </c>
      <c r="G3" s="7">
        <f t="shared" ref="G3:G11" si="0">((F3*D3)*(E3))</f>
        <v>57347.4</v>
      </c>
      <c r="K3" s="11"/>
    </row>
    <row r="4" ht="75" spans="1:7">
      <c r="A4" s="5">
        <v>2</v>
      </c>
      <c r="B4" s="6" t="s">
        <v>501</v>
      </c>
      <c r="C4" s="4" t="s">
        <v>500</v>
      </c>
      <c r="D4" s="5">
        <v>2</v>
      </c>
      <c r="E4" s="5">
        <v>12</v>
      </c>
      <c r="F4" s="7">
        <f>Eletricista!D148</f>
        <v>5901.48</v>
      </c>
      <c r="G4" s="7">
        <f t="shared" si="0"/>
        <v>141635.52</v>
      </c>
    </row>
    <row r="5" ht="75" spans="1:7">
      <c r="A5" s="5">
        <v>3</v>
      </c>
      <c r="B5" s="6" t="s">
        <v>502</v>
      </c>
      <c r="C5" s="4" t="s">
        <v>500</v>
      </c>
      <c r="D5" s="5">
        <v>1</v>
      </c>
      <c r="E5" s="5">
        <v>12</v>
      </c>
      <c r="F5" s="7">
        <f>Pintor!D148</f>
        <v>4775.36</v>
      </c>
      <c r="G5" s="7">
        <f t="shared" si="0"/>
        <v>57304.32</v>
      </c>
    </row>
    <row r="6" ht="75" spans="1:7">
      <c r="A6" s="5">
        <v>4</v>
      </c>
      <c r="B6" s="6" t="s">
        <v>503</v>
      </c>
      <c r="C6" s="4" t="s">
        <v>500</v>
      </c>
      <c r="D6" s="5">
        <v>1</v>
      </c>
      <c r="E6" s="5">
        <v>12</v>
      </c>
      <c r="F6" s="7">
        <f>'Técnico Manutenção'!D148</f>
        <v>4778.43</v>
      </c>
      <c r="G6" s="7">
        <f t="shared" si="0"/>
        <v>57341.16</v>
      </c>
    </row>
    <row r="7" ht="75" spans="1:7">
      <c r="A7" s="5">
        <v>5</v>
      </c>
      <c r="B7" s="6" t="s">
        <v>504</v>
      </c>
      <c r="C7" s="4" t="s">
        <v>500</v>
      </c>
      <c r="D7" s="5">
        <v>2</v>
      </c>
      <c r="E7" s="5">
        <v>12</v>
      </c>
      <c r="F7" s="7">
        <f>'Tecnico Refrigeração'!D148</f>
        <v>5882.89</v>
      </c>
      <c r="G7" s="7">
        <f t="shared" si="0"/>
        <v>141189.36</v>
      </c>
    </row>
    <row r="8" ht="75" spans="1:7">
      <c r="A8" s="5">
        <v>6</v>
      </c>
      <c r="B8" s="6" t="s">
        <v>505</v>
      </c>
      <c r="C8" s="4" t="s">
        <v>500</v>
      </c>
      <c r="D8" s="5">
        <v>3</v>
      </c>
      <c r="E8" s="5">
        <v>12</v>
      </c>
      <c r="F8" s="7">
        <f>'Auxiliar Manutenção'!D148</f>
        <v>4778.95</v>
      </c>
      <c r="G8" s="7">
        <f t="shared" si="0"/>
        <v>172042.2</v>
      </c>
    </row>
    <row r="9" ht="75" spans="1:7">
      <c r="A9" s="5">
        <v>7</v>
      </c>
      <c r="B9" s="6" t="s">
        <v>505</v>
      </c>
      <c r="C9" s="4" t="s">
        <v>500</v>
      </c>
      <c r="D9" s="5">
        <v>1</v>
      </c>
      <c r="E9" s="5">
        <v>12</v>
      </c>
      <c r="F9" s="7">
        <f>'Auxiliar de Manutenção (Areia)'!D148</f>
        <v>4649.94</v>
      </c>
      <c r="G9" s="7">
        <f t="shared" si="0"/>
        <v>55799.28</v>
      </c>
    </row>
    <row r="10" ht="75" spans="1:7">
      <c r="A10" s="5">
        <v>8</v>
      </c>
      <c r="B10" s="6" t="s">
        <v>506</v>
      </c>
      <c r="C10" s="4" t="s">
        <v>500</v>
      </c>
      <c r="D10" s="5">
        <v>1</v>
      </c>
      <c r="E10" s="5">
        <v>12</v>
      </c>
      <c r="F10" s="7">
        <f>Jardineiro!D148</f>
        <v>3970.45</v>
      </c>
      <c r="G10" s="7">
        <f t="shared" si="0"/>
        <v>47645.4</v>
      </c>
    </row>
    <row r="11" ht="90" spans="1:7">
      <c r="A11" s="5">
        <v>9</v>
      </c>
      <c r="B11" s="6" t="s">
        <v>507</v>
      </c>
      <c r="C11" s="4" t="s">
        <v>500</v>
      </c>
      <c r="D11" s="5">
        <v>2</v>
      </c>
      <c r="E11" s="5">
        <v>12</v>
      </c>
      <c r="F11" s="8">
        <f>'Operador Carga'!D148</f>
        <v>3927.25</v>
      </c>
      <c r="G11" s="7">
        <f t="shared" si="0"/>
        <v>94254</v>
      </c>
    </row>
    <row r="12" spans="1:7">
      <c r="A12" s="5">
        <v>10</v>
      </c>
      <c r="B12" s="9" t="s">
        <v>508</v>
      </c>
      <c r="C12" s="5" t="s">
        <v>509</v>
      </c>
      <c r="D12" s="5">
        <v>400</v>
      </c>
      <c r="E12" s="5" t="s">
        <v>102</v>
      </c>
      <c r="F12" s="10">
        <f>Diárias!E19</f>
        <v>190.91</v>
      </c>
      <c r="G12" s="7">
        <f>(F12*D12)</f>
        <v>76364</v>
      </c>
    </row>
    <row r="13" spans="1:7">
      <c r="A13" s="9" t="s">
        <v>204</v>
      </c>
      <c r="B13" s="9"/>
      <c r="C13" s="9"/>
      <c r="D13" s="9"/>
      <c r="E13" s="9"/>
      <c r="F13" s="9"/>
      <c r="G13" s="7">
        <f>SUM(G3:G12)</f>
        <v>900922.64</v>
      </c>
    </row>
  </sheetData>
  <mergeCells count="1">
    <mergeCell ref="A1:G1"/>
  </mergeCells>
  <pageMargins left="0.75" right="0.75" top="1" bottom="1" header="0.5" footer="0.5"/>
  <pageSetup paperSize="9"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5"/>
  <cols>
    <col min="1" max="1" width="12.4190476190476" customWidth="1"/>
    <col min="2" max="2" width="76.4095238095238" customWidth="1"/>
    <col min="3" max="3" width="28.4190476190476" customWidth="1"/>
    <col min="4" max="4" width="27.4190476190476" customWidth="1"/>
    <col min="5" max="5" width="9" customWidth="1"/>
    <col min="6" max="6" width="32.7142857142857" customWidth="1"/>
    <col min="7" max="7" width="13.0190476190476" customWidth="1"/>
    <col min="8" max="1025" width="9" customWidth="1"/>
  </cols>
  <sheetData>
    <row r="1" spans="1:21">
      <c r="A1" s="226" t="s">
        <v>14</v>
      </c>
      <c r="B1" s="226"/>
      <c r="C1" s="226"/>
      <c r="D1" s="226"/>
      <c r="F1" s="151" t="s">
        <v>15</v>
      </c>
      <c r="G1" s="151"/>
      <c r="H1" s="165"/>
      <c r="I1" s="165"/>
      <c r="J1" s="165"/>
      <c r="K1" s="165"/>
      <c r="L1" s="165"/>
      <c r="M1" s="165"/>
      <c r="N1" s="165"/>
      <c r="O1" s="165"/>
      <c r="P1" s="165"/>
      <c r="Q1" s="165"/>
      <c r="R1" s="165"/>
      <c r="S1" s="165"/>
      <c r="T1" s="165"/>
      <c r="U1" s="165"/>
    </row>
    <row r="2" spans="1:21">
      <c r="A2" s="153" t="s">
        <v>16</v>
      </c>
      <c r="B2" t="s">
        <v>17</v>
      </c>
      <c r="C2" s="153" t="s">
        <v>18</v>
      </c>
      <c r="D2" s="153" t="s">
        <v>19</v>
      </c>
      <c r="F2" s="158" t="s">
        <v>17</v>
      </c>
      <c r="G2" s="158" t="s">
        <v>19</v>
      </c>
      <c r="H2" s="165"/>
      <c r="I2" s="165"/>
      <c r="J2" s="165"/>
      <c r="K2" s="165"/>
      <c r="L2" s="165"/>
      <c r="M2" s="165"/>
      <c r="N2" s="165"/>
      <c r="O2" s="165"/>
      <c r="P2" s="165"/>
      <c r="Q2" s="165"/>
      <c r="R2" s="165"/>
      <c r="S2" s="165"/>
      <c r="T2" s="165"/>
      <c r="U2" s="165"/>
    </row>
    <row r="3" spans="1:21">
      <c r="A3" s="153">
        <v>1</v>
      </c>
      <c r="B3" t="s">
        <v>20</v>
      </c>
      <c r="C3" s="153"/>
      <c r="D3" s="153" t="s">
        <v>21</v>
      </c>
      <c r="F3" t="s">
        <v>22</v>
      </c>
      <c r="G3" s="227">
        <v>0</v>
      </c>
      <c r="H3" s="165"/>
      <c r="I3" s="165"/>
      <c r="J3" s="165"/>
      <c r="K3" s="165"/>
      <c r="L3" s="165"/>
      <c r="M3" s="165"/>
      <c r="N3" s="165"/>
      <c r="O3" s="165"/>
      <c r="P3" s="165"/>
      <c r="Q3" s="165"/>
      <c r="R3" s="165"/>
      <c r="S3" s="165"/>
      <c r="T3" s="165"/>
      <c r="U3" s="165"/>
    </row>
    <row r="4" spans="1:21">
      <c r="A4" s="153">
        <v>2</v>
      </c>
      <c r="B4" t="s">
        <v>23</v>
      </c>
      <c r="C4" s="153"/>
      <c r="D4" s="153" t="s">
        <v>24</v>
      </c>
      <c r="F4" t="s">
        <v>25</v>
      </c>
      <c r="G4" s="227">
        <v>12</v>
      </c>
      <c r="H4" s="165"/>
      <c r="I4" s="165"/>
      <c r="J4" s="165"/>
      <c r="K4" s="165"/>
      <c r="L4" s="165"/>
      <c r="M4" s="165"/>
      <c r="N4" s="165"/>
      <c r="O4" s="165"/>
      <c r="P4" s="165"/>
      <c r="Q4" s="165"/>
      <c r="R4" s="165"/>
      <c r="S4" s="165"/>
      <c r="T4" s="165"/>
      <c r="U4" s="165"/>
    </row>
    <row r="5" spans="1:21">
      <c r="A5" s="153">
        <v>3</v>
      </c>
      <c r="B5" t="s">
        <v>26</v>
      </c>
      <c r="C5" s="153" t="s">
        <v>27</v>
      </c>
      <c r="D5" s="228">
        <v>998</v>
      </c>
      <c r="F5" t="s">
        <v>28</v>
      </c>
      <c r="G5" s="154">
        <v>22</v>
      </c>
      <c r="H5" s="165"/>
      <c r="I5" s="165"/>
      <c r="J5" s="165"/>
      <c r="K5" s="165"/>
      <c r="L5" s="165"/>
      <c r="M5" s="165"/>
      <c r="N5" s="165"/>
      <c r="O5" s="165"/>
      <c r="P5" s="165"/>
      <c r="Q5" s="165"/>
      <c r="R5" s="165"/>
      <c r="S5" s="165"/>
      <c r="T5" s="165"/>
      <c r="U5" s="165"/>
    </row>
    <row r="6" spans="1:21">
      <c r="A6" s="153">
        <v>4</v>
      </c>
      <c r="B6" t="s">
        <v>29</v>
      </c>
      <c r="C6" s="153" t="s">
        <v>30</v>
      </c>
      <c r="D6" s="153" t="s">
        <v>31</v>
      </c>
      <c r="F6" t="s">
        <v>32</v>
      </c>
      <c r="G6" s="229">
        <v>0.03</v>
      </c>
      <c r="H6" s="165"/>
      <c r="I6" s="165"/>
      <c r="J6" s="165"/>
      <c r="K6" s="165"/>
      <c r="L6" s="165"/>
      <c r="M6" s="165"/>
      <c r="N6" s="165"/>
      <c r="O6" s="165"/>
      <c r="P6" s="165"/>
      <c r="Q6" s="165"/>
      <c r="R6" s="165"/>
      <c r="S6" s="165"/>
      <c r="T6" s="165"/>
      <c r="U6" s="165"/>
    </row>
    <row r="7" spans="1:21">
      <c r="A7" s="153">
        <v>5</v>
      </c>
      <c r="B7" t="s">
        <v>33</v>
      </c>
      <c r="C7" s="153"/>
      <c r="D7" s="153" t="s">
        <v>34</v>
      </c>
      <c r="H7" s="165"/>
      <c r="I7" s="165"/>
      <c r="J7" s="165"/>
      <c r="K7" s="165"/>
      <c r="L7" s="165"/>
      <c r="M7" s="165"/>
      <c r="N7" s="165"/>
      <c r="O7" s="165"/>
      <c r="P7" s="165"/>
      <c r="Q7" s="165"/>
      <c r="R7" s="165"/>
      <c r="S7" s="165"/>
      <c r="T7" s="165"/>
      <c r="U7" s="165"/>
    </row>
    <row r="8" spans="6:21">
      <c r="F8" s="151" t="s">
        <v>35</v>
      </c>
      <c r="G8" s="151"/>
      <c r="H8" s="165"/>
      <c r="I8" s="165"/>
      <c r="J8" s="165"/>
      <c r="K8" s="165"/>
      <c r="L8" s="165"/>
      <c r="M8" s="165"/>
      <c r="N8" s="165"/>
      <c r="O8" s="165"/>
      <c r="P8" s="165"/>
      <c r="Q8" s="165"/>
      <c r="R8" s="165"/>
      <c r="S8" s="165"/>
      <c r="T8" s="165"/>
      <c r="U8" s="165"/>
    </row>
    <row r="9" spans="1:21">
      <c r="A9" s="131" t="s">
        <v>36</v>
      </c>
      <c r="B9" s="131"/>
      <c r="C9" s="131"/>
      <c r="D9" s="131"/>
      <c r="F9" s="158" t="s">
        <v>37</v>
      </c>
      <c r="G9" s="158" t="s">
        <v>38</v>
      </c>
      <c r="H9" s="165"/>
      <c r="I9" s="165"/>
      <c r="J9" s="165"/>
      <c r="K9" s="165"/>
      <c r="L9" s="165"/>
      <c r="M9" s="165"/>
      <c r="N9" s="165"/>
      <c r="O9" s="165"/>
      <c r="P9" s="165"/>
      <c r="Q9" s="165"/>
      <c r="R9" s="165"/>
      <c r="S9" s="165"/>
      <c r="T9" s="165"/>
      <c r="U9" s="165"/>
    </row>
    <row r="10" spans="1:21">
      <c r="A10" s="153" t="s">
        <v>39</v>
      </c>
      <c r="B10" s="158" t="s">
        <v>40</v>
      </c>
      <c r="C10" s="153" t="s">
        <v>18</v>
      </c>
      <c r="D10" s="153" t="s">
        <v>19</v>
      </c>
      <c r="F10" t="s">
        <v>41</v>
      </c>
      <c r="G10" s="159">
        <v>0.4337</v>
      </c>
      <c r="H10" s="165"/>
      <c r="I10" s="165"/>
      <c r="J10" s="165"/>
      <c r="K10" s="165"/>
      <c r="L10" s="165"/>
      <c r="M10" s="165"/>
      <c r="N10" s="165"/>
      <c r="O10" s="165"/>
      <c r="P10" s="165"/>
      <c r="Q10" s="165"/>
      <c r="R10" s="165"/>
      <c r="S10" s="165"/>
      <c r="T10" s="165"/>
      <c r="U10" s="165"/>
    </row>
    <row r="11" spans="1:21">
      <c r="A11" s="153" t="s">
        <v>42</v>
      </c>
      <c r="B11" t="s">
        <v>43</v>
      </c>
      <c r="C11" s="153"/>
      <c r="D11" s="160">
        <f>Salário_Normativo_da_Categoria_Profissional</f>
        <v>998</v>
      </c>
      <c r="F11" t="s">
        <v>44</v>
      </c>
      <c r="G11" s="159">
        <v>0.4337</v>
      </c>
      <c r="H11" s="165"/>
      <c r="I11" s="165"/>
      <c r="J11" s="165"/>
      <c r="K11" s="165"/>
      <c r="L11" s="165"/>
      <c r="M11" s="165"/>
      <c r="N11" s="165"/>
      <c r="O11" s="165"/>
      <c r="P11" s="165"/>
      <c r="Q11" s="165"/>
      <c r="R11" s="165"/>
      <c r="S11" s="165"/>
      <c r="T11" s="165"/>
      <c r="U11" s="165"/>
    </row>
    <row r="12" spans="1:21">
      <c r="A12" s="153" t="s">
        <v>45</v>
      </c>
      <c r="B12" t="s">
        <v>46</v>
      </c>
      <c r="C12" s="153"/>
      <c r="D12" s="160"/>
      <c r="F12" t="s">
        <v>47</v>
      </c>
      <c r="G12" s="159">
        <v>0.0218</v>
      </c>
      <c r="H12" s="165"/>
      <c r="I12" s="165"/>
      <c r="J12" s="165"/>
      <c r="K12" s="165"/>
      <c r="L12" s="165"/>
      <c r="M12" s="165"/>
      <c r="N12" s="165"/>
      <c r="O12" s="165"/>
      <c r="P12" s="165"/>
      <c r="Q12" s="165"/>
      <c r="R12" s="165"/>
      <c r="S12" s="165"/>
      <c r="T12" s="165"/>
      <c r="U12" s="165"/>
    </row>
    <row r="13" spans="1:21">
      <c r="A13" s="153" t="s">
        <v>48</v>
      </c>
      <c r="B13" t="s">
        <v>49</v>
      </c>
      <c r="C13" s="153"/>
      <c r="D13" s="160"/>
      <c r="H13" s="165"/>
      <c r="I13" s="165"/>
      <c r="J13" s="165"/>
      <c r="K13" s="165"/>
      <c r="L13" s="165"/>
      <c r="M13" s="165"/>
      <c r="N13" s="165"/>
      <c r="O13" s="165"/>
      <c r="P13" s="165"/>
      <c r="Q13" s="165"/>
      <c r="R13" s="165"/>
      <c r="S13" s="165"/>
      <c r="T13" s="165"/>
      <c r="U13" s="165"/>
    </row>
    <row r="14" spans="1:21">
      <c r="A14" s="153" t="s">
        <v>50</v>
      </c>
      <c r="B14" t="s">
        <v>51</v>
      </c>
      <c r="C14" s="153"/>
      <c r="D14" s="160"/>
      <c r="F14" s="151" t="s">
        <v>52</v>
      </c>
      <c r="G14" s="151"/>
      <c r="H14" s="165"/>
      <c r="I14" s="165"/>
      <c r="J14" s="165"/>
      <c r="K14" s="165"/>
      <c r="L14" s="165"/>
      <c r="M14" s="165"/>
      <c r="N14" s="165"/>
      <c r="O14" s="165"/>
      <c r="P14" s="165"/>
      <c r="Q14" s="165"/>
      <c r="R14" s="165"/>
      <c r="S14" s="165"/>
      <c r="T14" s="165"/>
      <c r="U14" s="165"/>
    </row>
    <row r="15" spans="1:21">
      <c r="A15" s="153" t="s">
        <v>53</v>
      </c>
      <c r="B15" t="s">
        <v>54</v>
      </c>
      <c r="C15" s="153"/>
      <c r="D15" s="160"/>
      <c r="F15" s="230" t="s">
        <v>17</v>
      </c>
      <c r="G15" s="230" t="s">
        <v>38</v>
      </c>
      <c r="H15" s="165"/>
      <c r="I15" s="165"/>
      <c r="J15" s="165"/>
      <c r="K15" s="165"/>
      <c r="L15" s="165"/>
      <c r="M15" s="165"/>
      <c r="N15" s="165"/>
      <c r="O15" s="165"/>
      <c r="P15" s="165"/>
      <c r="Q15" s="165"/>
      <c r="R15" s="165"/>
      <c r="S15" s="165"/>
      <c r="T15" s="165"/>
      <c r="U15" s="165"/>
    </row>
    <row r="16" spans="1:21">
      <c r="A16" s="153" t="s">
        <v>55</v>
      </c>
      <c r="B16" t="s">
        <v>56</v>
      </c>
      <c r="C16" s="153"/>
      <c r="D16" s="160"/>
      <c r="F16" s="165" t="s">
        <v>57</v>
      </c>
      <c r="G16" s="231">
        <v>0.0471</v>
      </c>
      <c r="H16" s="165"/>
      <c r="I16" s="165"/>
      <c r="J16" s="165"/>
      <c r="K16" s="165"/>
      <c r="L16" s="165"/>
      <c r="M16" s="165"/>
      <c r="N16" s="165"/>
      <c r="O16" s="165"/>
      <c r="P16" s="165"/>
      <c r="Q16" s="165"/>
      <c r="R16" s="165"/>
      <c r="S16" s="165"/>
      <c r="T16" s="165"/>
      <c r="U16" s="165"/>
    </row>
    <row r="17" spans="1:21">
      <c r="A17" s="153" t="s">
        <v>58</v>
      </c>
      <c r="C17" s="153"/>
      <c r="D17" s="160">
        <f>SUBTOTAL(109,Módulo1[Valor])</f>
        <v>998</v>
      </c>
      <c r="F17" s="165" t="s">
        <v>59</v>
      </c>
      <c r="G17" s="231">
        <v>0.0467</v>
      </c>
      <c r="H17" s="165"/>
      <c r="I17" s="165"/>
      <c r="J17" s="165"/>
      <c r="K17" s="165"/>
      <c r="L17" s="165"/>
      <c r="M17" s="165"/>
      <c r="N17" s="165"/>
      <c r="O17" s="165"/>
      <c r="P17" s="165"/>
      <c r="Q17" s="165"/>
      <c r="R17" s="165"/>
      <c r="S17" s="165"/>
      <c r="T17" s="165"/>
      <c r="U17" s="165"/>
    </row>
    <row r="18" spans="6:21">
      <c r="F18" s="165" t="s">
        <v>60</v>
      </c>
      <c r="G18" s="232">
        <v>0.0165</v>
      </c>
      <c r="H18" s="165"/>
      <c r="I18" s="165"/>
      <c r="J18" s="165"/>
      <c r="K18" s="165"/>
      <c r="L18" s="165"/>
      <c r="M18" s="165"/>
      <c r="N18" s="165"/>
      <c r="O18" s="165"/>
      <c r="P18" s="165"/>
      <c r="Q18" s="165"/>
      <c r="R18" s="165"/>
      <c r="S18" s="165"/>
      <c r="T18" s="165"/>
      <c r="U18" s="165"/>
    </row>
    <row r="19" spans="1:21">
      <c r="A19" s="162" t="s">
        <v>61</v>
      </c>
      <c r="B19" s="162"/>
      <c r="C19" s="162"/>
      <c r="D19" s="162"/>
      <c r="F19" s="165" t="s">
        <v>62</v>
      </c>
      <c r="G19" s="232">
        <v>0.076</v>
      </c>
      <c r="H19" s="165"/>
      <c r="I19" s="165"/>
      <c r="J19" s="165"/>
      <c r="K19" s="165"/>
      <c r="L19" s="165"/>
      <c r="M19" s="165"/>
      <c r="N19" s="165"/>
      <c r="O19" s="165"/>
      <c r="P19" s="165"/>
      <c r="Q19" s="165"/>
      <c r="R19" s="165"/>
      <c r="S19" s="165"/>
      <c r="T19" s="165"/>
      <c r="U19" s="165"/>
    </row>
    <row r="20" spans="1:21">
      <c r="A20" s="151" t="s">
        <v>63</v>
      </c>
      <c r="B20" s="151"/>
      <c r="C20" s="151"/>
      <c r="D20" s="151"/>
      <c r="F20" s="165" t="s">
        <v>64</v>
      </c>
      <c r="G20" s="232">
        <v>0.05</v>
      </c>
      <c r="H20" s="165"/>
      <c r="I20" s="165"/>
      <c r="J20" s="165"/>
      <c r="K20" s="165"/>
      <c r="L20" s="165"/>
      <c r="M20" s="165"/>
      <c r="N20" s="165"/>
      <c r="O20" s="165"/>
      <c r="P20" s="165"/>
      <c r="Q20" s="165"/>
      <c r="R20" s="165"/>
      <c r="S20" s="165"/>
      <c r="T20" s="165"/>
      <c r="U20" s="165"/>
    </row>
    <row r="21" spans="1:21">
      <c r="A21" s="153" t="s">
        <v>65</v>
      </c>
      <c r="B21" s="158" t="s">
        <v>66</v>
      </c>
      <c r="C21" s="153" t="s">
        <v>18</v>
      </c>
      <c r="D21" s="153" t="s">
        <v>19</v>
      </c>
      <c r="F21" s="165"/>
      <c r="G21" s="165"/>
      <c r="H21" s="165"/>
      <c r="I21" s="165"/>
      <c r="J21" s="165"/>
      <c r="K21" s="165"/>
      <c r="L21" s="165"/>
      <c r="M21" s="165"/>
      <c r="N21" s="165"/>
      <c r="O21" s="165"/>
      <c r="P21" s="165"/>
      <c r="Q21" s="165"/>
      <c r="R21" s="165"/>
      <c r="S21" s="165"/>
      <c r="T21" s="165"/>
      <c r="U21" s="165"/>
    </row>
    <row r="22" spans="1:21">
      <c r="A22" s="153" t="s">
        <v>42</v>
      </c>
      <c r="B22" t="s">
        <v>67</v>
      </c>
      <c r="D22" s="160">
        <f>Módulo1[[#Totals],[Valor]]/12</f>
        <v>83.1666666666667</v>
      </c>
      <c r="F22" s="165"/>
      <c r="G22" s="165"/>
      <c r="H22" s="165"/>
      <c r="I22" s="165"/>
      <c r="J22" s="165"/>
      <c r="K22" s="165"/>
      <c r="L22" s="165"/>
      <c r="M22" s="165"/>
      <c r="N22" s="165"/>
      <c r="O22" s="165"/>
      <c r="P22" s="165"/>
      <c r="Q22" s="165"/>
      <c r="R22" s="165"/>
      <c r="S22" s="165"/>
      <c r="T22" s="165"/>
      <c r="U22" s="165"/>
    </row>
    <row r="23" spans="1:21">
      <c r="A23" s="153" t="s">
        <v>45</v>
      </c>
      <c r="B23" t="s">
        <v>68</v>
      </c>
      <c r="D23" s="160">
        <f>(Módulo1[[#Totals],[Valor]]/12)*(1+(1/3))</f>
        <v>110.888888888889</v>
      </c>
      <c r="F23" s="165"/>
      <c r="G23" s="165"/>
      <c r="H23" s="165"/>
      <c r="I23" s="165"/>
      <c r="J23" s="165"/>
      <c r="K23" s="165"/>
      <c r="L23" s="165"/>
      <c r="M23" s="165"/>
      <c r="N23" s="165"/>
      <c r="O23" s="165"/>
      <c r="P23" s="165"/>
      <c r="Q23" s="165"/>
      <c r="R23" s="165"/>
      <c r="S23" s="165"/>
      <c r="T23" s="165"/>
      <c r="U23" s="165"/>
    </row>
    <row r="24" spans="1:21">
      <c r="A24" s="153" t="s">
        <v>58</v>
      </c>
      <c r="D24" s="160">
        <f>SUBTOTAL(109,Submódulo2.1[Valor])</f>
        <v>194.055555555556</v>
      </c>
      <c r="F24" s="165"/>
      <c r="G24" s="165"/>
      <c r="H24" s="165"/>
      <c r="I24" s="165"/>
      <c r="J24" s="165"/>
      <c r="K24" s="165"/>
      <c r="L24" s="165"/>
      <c r="M24" s="165"/>
      <c r="N24" s="165"/>
      <c r="O24" s="165"/>
      <c r="P24" s="165"/>
      <c r="Q24" s="165"/>
      <c r="R24" s="165"/>
      <c r="S24" s="165"/>
      <c r="T24" s="165"/>
      <c r="U24" s="165"/>
    </row>
    <row r="25" spans="1:21">
      <c r="A25" s="153"/>
      <c r="D25" s="160"/>
      <c r="F25" s="165"/>
      <c r="G25" s="165"/>
      <c r="H25" s="165"/>
      <c r="I25" s="165"/>
      <c r="J25" s="165"/>
      <c r="K25" s="165"/>
      <c r="L25" s="165"/>
      <c r="M25" s="165"/>
      <c r="N25" s="165"/>
      <c r="O25" s="165"/>
      <c r="P25" s="165"/>
      <c r="Q25" s="165"/>
      <c r="R25" s="165"/>
      <c r="S25" s="165"/>
      <c r="T25" s="165"/>
      <c r="U25" s="165"/>
    </row>
    <row r="26" spans="1:21">
      <c r="A26" s="163" t="s">
        <v>69</v>
      </c>
      <c r="B26" s="163"/>
      <c r="C26" s="163"/>
      <c r="D26" s="163"/>
      <c r="F26" s="165"/>
      <c r="G26" s="165"/>
      <c r="H26" s="165"/>
      <c r="I26" s="165"/>
      <c r="J26" s="165"/>
      <c r="K26" s="165"/>
      <c r="L26" s="165"/>
      <c r="M26" s="165"/>
      <c r="N26" s="165"/>
      <c r="O26" s="165"/>
      <c r="P26" s="165"/>
      <c r="Q26" s="165"/>
      <c r="R26" s="165"/>
      <c r="S26" s="165"/>
      <c r="T26" s="165"/>
      <c r="U26" s="165"/>
    </row>
    <row r="27" spans="1:21">
      <c r="A27" s="163" t="s">
        <v>16</v>
      </c>
      <c r="B27" s="163" t="s">
        <v>70</v>
      </c>
      <c r="C27" s="163" t="s">
        <v>71</v>
      </c>
      <c r="D27" s="233" t="s">
        <v>72</v>
      </c>
      <c r="F27" s="165"/>
      <c r="G27" s="165"/>
      <c r="H27" s="165"/>
      <c r="I27" s="165"/>
      <c r="J27" s="165"/>
      <c r="K27" s="165"/>
      <c r="L27" s="165"/>
      <c r="M27" s="165"/>
      <c r="N27" s="165"/>
      <c r="O27" s="165"/>
      <c r="P27" s="165"/>
      <c r="Q27" s="165"/>
      <c r="R27" s="165"/>
      <c r="S27" s="165"/>
      <c r="T27" s="165"/>
      <c r="U27" s="165"/>
    </row>
    <row r="28" ht="30" spans="1:21">
      <c r="A28" s="152" t="s">
        <v>42</v>
      </c>
      <c r="B28" s="234" t="s">
        <v>73</v>
      </c>
      <c r="C28" s="235" t="s">
        <v>74</v>
      </c>
      <c r="D28" s="234" t="s">
        <v>75</v>
      </c>
      <c r="F28" s="165"/>
      <c r="G28" s="165"/>
      <c r="H28" s="165"/>
      <c r="I28" s="165"/>
      <c r="J28" s="165"/>
      <c r="K28" s="165"/>
      <c r="L28" s="165"/>
      <c r="M28" s="165"/>
      <c r="N28" s="165"/>
      <c r="O28" s="165"/>
      <c r="P28" s="165"/>
      <c r="Q28" s="165"/>
      <c r="R28" s="165"/>
      <c r="S28" s="165"/>
      <c r="T28" s="165"/>
      <c r="U28" s="165"/>
    </row>
    <row r="29" ht="30" spans="1:21">
      <c r="A29" s="152" t="s">
        <v>45</v>
      </c>
      <c r="B29" s="236" t="s">
        <v>68</v>
      </c>
      <c r="C29" s="235" t="s">
        <v>74</v>
      </c>
      <c r="D29" s="234" t="s">
        <v>76</v>
      </c>
      <c r="F29" s="165"/>
      <c r="G29" s="165"/>
      <c r="H29" s="165"/>
      <c r="I29" s="165"/>
      <c r="J29" s="165"/>
      <c r="K29" s="165"/>
      <c r="L29" s="165"/>
      <c r="M29" s="165"/>
      <c r="N29" s="165"/>
      <c r="O29" s="165"/>
      <c r="P29" s="165"/>
      <c r="Q29" s="165"/>
      <c r="R29" s="165"/>
      <c r="S29" s="165"/>
      <c r="T29" s="165"/>
      <c r="U29" s="165"/>
    </row>
    <row r="30" spans="1:21">
      <c r="A30" s="153"/>
      <c r="B30" s="153"/>
      <c r="C30" s="182"/>
      <c r="F30" s="165"/>
      <c r="G30" s="165"/>
      <c r="H30" s="165"/>
      <c r="I30" s="165"/>
      <c r="J30" s="165"/>
      <c r="K30" s="165"/>
      <c r="L30" s="165"/>
      <c r="M30" s="165"/>
      <c r="N30" s="165"/>
      <c r="O30" s="165"/>
      <c r="P30" s="165"/>
      <c r="Q30" s="165"/>
      <c r="R30" s="165"/>
      <c r="S30" s="165"/>
      <c r="T30" s="165"/>
      <c r="U30" s="165"/>
    </row>
    <row r="31" spans="1:4">
      <c r="A31" s="151" t="s">
        <v>77</v>
      </c>
      <c r="B31" s="151"/>
      <c r="C31" s="151"/>
      <c r="D31" s="151"/>
    </row>
    <row r="32" spans="1:4">
      <c r="A32" s="153" t="s">
        <v>78</v>
      </c>
      <c r="B32" s="158" t="s">
        <v>79</v>
      </c>
      <c r="C32" s="153" t="s">
        <v>38</v>
      </c>
      <c r="D32" s="153" t="s">
        <v>80</v>
      </c>
    </row>
    <row r="33" spans="1:4">
      <c r="A33" s="153" t="s">
        <v>42</v>
      </c>
      <c r="B33" t="s">
        <v>81</v>
      </c>
      <c r="C33" s="164">
        <v>0.2</v>
      </c>
      <c r="D33" s="160">
        <f>C33*(Módulo1[[#Totals],[Valor]]+Submódulo2.1[[#Totals],[Valor]])</f>
        <v>238.411111111111</v>
      </c>
    </row>
    <row r="34" spans="1:4">
      <c r="A34" s="153" t="s">
        <v>45</v>
      </c>
      <c r="B34" t="s">
        <v>82</v>
      </c>
      <c r="C34" s="164">
        <v>0.025</v>
      </c>
      <c r="D34" s="160">
        <f>C34*(Módulo1[[#Totals],[Valor]]+Submódulo2.1[[#Totals],[Valor]])</f>
        <v>29.8013888888889</v>
      </c>
    </row>
    <row r="35" spans="1:4">
      <c r="A35" s="153" t="s">
        <v>48</v>
      </c>
      <c r="B35" t="s">
        <v>83</v>
      </c>
      <c r="C35" s="164">
        <f>Servente!G6</f>
        <v>0.03</v>
      </c>
      <c r="D35" s="160">
        <f>C35*(Módulo1[[#Totals],[Valor]]+Submódulo2.1[[#Totals],[Valor]])</f>
        <v>35.7616666666667</v>
      </c>
    </row>
    <row r="36" spans="1:4">
      <c r="A36" s="153" t="s">
        <v>50</v>
      </c>
      <c r="B36" t="s">
        <v>84</v>
      </c>
      <c r="C36" s="164">
        <v>0.015</v>
      </c>
      <c r="D36" s="160">
        <f>C36*(Módulo1[[#Totals],[Valor]]+Submódulo2.1[[#Totals],[Valor]])</f>
        <v>17.8808333333333</v>
      </c>
    </row>
    <row r="37" spans="1:4">
      <c r="A37" s="153" t="s">
        <v>53</v>
      </c>
      <c r="B37" t="s">
        <v>85</v>
      </c>
      <c r="C37" s="164">
        <v>0.01</v>
      </c>
      <c r="D37" s="160">
        <f>C37*(Módulo1[[#Totals],[Valor]]+Submódulo2.1[[#Totals],[Valor]])</f>
        <v>11.9205555555556</v>
      </c>
    </row>
    <row r="38" spans="1:4">
      <c r="A38" s="153" t="s">
        <v>55</v>
      </c>
      <c r="B38" t="s">
        <v>86</v>
      </c>
      <c r="C38" s="164">
        <v>0.006</v>
      </c>
      <c r="D38" s="160">
        <f>C38*(Módulo1[[#Totals],[Valor]]+Submódulo2.1[[#Totals],[Valor]])</f>
        <v>7.15233333333333</v>
      </c>
    </row>
    <row r="39" spans="1:4">
      <c r="A39" s="153" t="s">
        <v>87</v>
      </c>
      <c r="B39" t="s">
        <v>88</v>
      </c>
      <c r="C39" s="164">
        <v>0.002</v>
      </c>
      <c r="D39" s="160">
        <f>C39*(Módulo1[[#Totals],[Valor]]+Submódulo2.1[[#Totals],[Valor]])</f>
        <v>2.38411111111111</v>
      </c>
    </row>
    <row r="40" spans="1:4">
      <c r="A40" s="153" t="s">
        <v>89</v>
      </c>
      <c r="B40" t="s">
        <v>90</v>
      </c>
      <c r="C40" s="164">
        <v>0.08</v>
      </c>
      <c r="D40" s="160">
        <f>C40*(Módulo1[[#Totals],[Valor]]+Submódulo2.1[[#Totals],[Valor]])</f>
        <v>95.3644444444445</v>
      </c>
    </row>
    <row r="41" spans="1:4">
      <c r="A41" s="153" t="s">
        <v>58</v>
      </c>
      <c r="C41" s="170">
        <f>SUBTOTAL(109,Submódulo2.2[Percentual])</f>
        <v>0.368</v>
      </c>
      <c r="D41" s="160">
        <f>SUBTOTAL(109,Submódulo2.2[Valor ])</f>
        <v>438.676444444444</v>
      </c>
    </row>
    <row r="42" spans="1:4">
      <c r="A42" s="153"/>
      <c r="C42" s="170"/>
      <c r="D42" s="160"/>
    </row>
    <row r="43" spans="1:4">
      <c r="A43" s="163" t="s">
        <v>91</v>
      </c>
      <c r="B43" s="163"/>
      <c r="C43" s="163"/>
      <c r="D43" s="163"/>
    </row>
    <row r="44" spans="1:4">
      <c r="A44" s="163" t="s">
        <v>16</v>
      </c>
      <c r="B44" s="163" t="s">
        <v>70</v>
      </c>
      <c r="C44" s="163" t="s">
        <v>71</v>
      </c>
      <c r="D44" s="233" t="s">
        <v>72</v>
      </c>
    </row>
    <row r="45" ht="30" spans="1:4">
      <c r="A45" s="152" t="s">
        <v>92</v>
      </c>
      <c r="B45" s="234" t="s">
        <v>79</v>
      </c>
      <c r="C45" s="234" t="s">
        <v>93</v>
      </c>
      <c r="D45" s="234" t="s">
        <v>94</v>
      </c>
    </row>
    <row r="47" spans="1:4">
      <c r="A47" s="151" t="s">
        <v>95</v>
      </c>
      <c r="B47" s="151"/>
      <c r="C47" s="151"/>
      <c r="D47" s="151"/>
    </row>
    <row r="48" spans="1:4">
      <c r="A48" s="153" t="s">
        <v>96</v>
      </c>
      <c r="B48" s="158" t="s">
        <v>97</v>
      </c>
      <c r="C48" s="153" t="s">
        <v>18</v>
      </c>
      <c r="D48" s="153" t="s">
        <v>19</v>
      </c>
    </row>
    <row r="49" spans="1:4">
      <c r="A49" s="153" t="s">
        <v>42</v>
      </c>
      <c r="B49" t="s">
        <v>98</v>
      </c>
      <c r="D49" s="160">
        <f>IF(G3=0,0,(Servente!G3*2*Servente!G5)-(6%*_1A))</f>
        <v>0</v>
      </c>
    </row>
    <row r="50" spans="1:4">
      <c r="A50" s="153" t="s">
        <v>45</v>
      </c>
      <c r="B50" t="s">
        <v>99</v>
      </c>
      <c r="D50" s="160">
        <f>(Servente!G4*Servente!G5)*80%</f>
        <v>211.2</v>
      </c>
    </row>
    <row r="51" spans="1:4">
      <c r="A51" s="153" t="s">
        <v>48</v>
      </c>
      <c r="B51" t="s">
        <v>100</v>
      </c>
      <c r="D51" s="160"/>
    </row>
    <row r="52" spans="1:4">
      <c r="A52" s="153" t="s">
        <v>50</v>
      </c>
      <c r="B52" t="s">
        <v>56</v>
      </c>
      <c r="D52" s="160"/>
    </row>
    <row r="53" spans="1:4">
      <c r="A53" s="153" t="s">
        <v>58</v>
      </c>
      <c r="D53" s="160">
        <v>211.2</v>
      </c>
    </row>
    <row r="54" spans="1:4">
      <c r="A54" s="153"/>
      <c r="D54" s="160"/>
    </row>
    <row r="55" spans="1:4">
      <c r="A55" s="163" t="s">
        <v>101</v>
      </c>
      <c r="B55" s="163"/>
      <c r="C55" s="163"/>
      <c r="D55" s="163"/>
    </row>
    <row r="56" spans="1:4">
      <c r="A56" s="163" t="s">
        <v>16</v>
      </c>
      <c r="B56" s="163" t="s">
        <v>70</v>
      </c>
      <c r="C56" s="163" t="s">
        <v>71</v>
      </c>
      <c r="D56" s="163" t="s">
        <v>72</v>
      </c>
    </row>
    <row r="57" ht="45" spans="1:4">
      <c r="A57" s="152" t="s">
        <v>42</v>
      </c>
      <c r="B57" s="234" t="s">
        <v>98</v>
      </c>
      <c r="C57" s="235" t="s">
        <v>102</v>
      </c>
      <c r="D57" s="235" t="s">
        <v>103</v>
      </c>
    </row>
    <row r="58" ht="30" spans="1:4">
      <c r="A58" s="152" t="s">
        <v>45</v>
      </c>
      <c r="B58" s="236" t="s">
        <v>99</v>
      </c>
      <c r="C58" s="235" t="s">
        <v>102</v>
      </c>
      <c r="D58" s="235" t="s">
        <v>104</v>
      </c>
    </row>
    <row r="59" ht="19.5" customHeight="1" spans="1:4">
      <c r="A59" s="153"/>
      <c r="D59" s="160"/>
    </row>
    <row r="60" spans="1:4">
      <c r="A60" s="151" t="s">
        <v>105</v>
      </c>
      <c r="B60" s="151"/>
      <c r="C60" s="151"/>
      <c r="D60" s="151"/>
    </row>
    <row r="61" spans="1:4">
      <c r="A61" s="153" t="s">
        <v>106</v>
      </c>
      <c r="B61" s="158" t="s">
        <v>107</v>
      </c>
      <c r="C61" s="153" t="s">
        <v>18</v>
      </c>
      <c r="D61" s="153" t="s">
        <v>19</v>
      </c>
    </row>
    <row r="62" spans="1:4">
      <c r="A62" s="153" t="s">
        <v>65</v>
      </c>
      <c r="B62" t="s">
        <v>66</v>
      </c>
      <c r="C62" s="153"/>
      <c r="D62" s="160">
        <f>Submódulo2.1[[#Totals],[Valor]]</f>
        <v>194.055555555556</v>
      </c>
    </row>
    <row r="63" spans="1:4">
      <c r="A63" s="153" t="s">
        <v>78</v>
      </c>
      <c r="B63" t="s">
        <v>79</v>
      </c>
      <c r="C63" s="153"/>
      <c r="D63" s="160">
        <f>Submódulo2.2[[#Totals],[Valor ]]</f>
        <v>438.676444444444</v>
      </c>
    </row>
    <row r="64" spans="1:4">
      <c r="A64" s="153" t="s">
        <v>96</v>
      </c>
      <c r="B64" t="s">
        <v>97</v>
      </c>
      <c r="C64" s="153"/>
      <c r="D64" s="160">
        <f>Submódulo2.3[[#Totals],[Valor]]</f>
        <v>211.2</v>
      </c>
    </row>
    <row r="65" spans="1:4">
      <c r="A65" s="153" t="s">
        <v>58</v>
      </c>
      <c r="C65" s="153"/>
      <c r="D65" s="160">
        <v>843.932</v>
      </c>
    </row>
    <row r="67" spans="1:4">
      <c r="A67" s="131" t="s">
        <v>108</v>
      </c>
      <c r="B67" s="131"/>
      <c r="C67" s="131"/>
      <c r="D67" s="131"/>
    </row>
    <row r="68" spans="1:4">
      <c r="A68" s="153" t="s">
        <v>109</v>
      </c>
      <c r="B68" s="158" t="s">
        <v>110</v>
      </c>
      <c r="C68" s="153" t="s">
        <v>18</v>
      </c>
      <c r="D68" s="153" t="s">
        <v>19</v>
      </c>
    </row>
    <row r="69" spans="1:4">
      <c r="A69" s="153" t="s">
        <v>42</v>
      </c>
      <c r="B69" t="s">
        <v>111</v>
      </c>
      <c r="D69" s="160">
        <f>((Módulo1[[#Totals],[Valor]]+D62+D64)/12)*Servente!G10</f>
        <v>50.715994537037</v>
      </c>
    </row>
    <row r="70" spans="1:4">
      <c r="A70" s="153" t="s">
        <v>45</v>
      </c>
      <c r="B70" t="s">
        <v>112</v>
      </c>
      <c r="D70" s="160">
        <f>(D40/12)*Servente!G10</f>
        <v>3.44662996296296</v>
      </c>
    </row>
    <row r="71" spans="1:4">
      <c r="A71" s="153" t="s">
        <v>48</v>
      </c>
      <c r="B71" t="s">
        <v>113</v>
      </c>
      <c r="D71" s="160">
        <f>D40*50%*Servente!G10</f>
        <v>20.6797797777778</v>
      </c>
    </row>
    <row r="72" spans="1:4">
      <c r="A72" s="153" t="s">
        <v>50</v>
      </c>
      <c r="B72" t="s">
        <v>114</v>
      </c>
      <c r="D72" s="160">
        <f>((Módulo1[[#Totals],[Valor]]+ResumoMódulo2[[#Totals],[Valor]])/12)*Servente!G11</f>
        <v>66.5704923666667</v>
      </c>
    </row>
    <row r="73" spans="1:4">
      <c r="A73" s="153" t="s">
        <v>53</v>
      </c>
      <c r="B73" t="s">
        <v>115</v>
      </c>
      <c r="D73" s="160">
        <f>D40*50%*Servente!G11</f>
        <v>20.6797797777778</v>
      </c>
    </row>
    <row r="74" spans="1:4">
      <c r="A74" s="153" t="s">
        <v>55</v>
      </c>
      <c r="B74" t="s">
        <v>116</v>
      </c>
      <c r="D74" s="160">
        <f>-D62*Servente!G12</f>
        <v>-4.23041111111111</v>
      </c>
    </row>
    <row r="75" spans="1:4">
      <c r="A75" s="153" t="s">
        <v>58</v>
      </c>
      <c r="D75" s="160">
        <f>SUBTOTAL(109,Módulo3[Valor])</f>
        <v>157.862265311111</v>
      </c>
    </row>
    <row r="76" spans="1:4">
      <c r="A76" s="153"/>
      <c r="D76" s="160"/>
    </row>
    <row r="77" spans="1:4">
      <c r="A77" s="163" t="s">
        <v>117</v>
      </c>
      <c r="B77" s="163"/>
      <c r="C77" s="163"/>
      <c r="D77" s="163"/>
    </row>
    <row r="78" spans="1:4">
      <c r="A78" s="163" t="s">
        <v>16</v>
      </c>
      <c r="B78" s="163" t="s">
        <v>70</v>
      </c>
      <c r="C78" s="163" t="s">
        <v>71</v>
      </c>
      <c r="D78" s="163" t="s">
        <v>72</v>
      </c>
    </row>
    <row r="79" ht="60" spans="1:4">
      <c r="A79" s="152" t="s">
        <v>42</v>
      </c>
      <c r="B79" s="234" t="s">
        <v>111</v>
      </c>
      <c r="C79" s="235" t="s">
        <v>118</v>
      </c>
      <c r="D79" s="235" t="s">
        <v>119</v>
      </c>
    </row>
    <row r="80" ht="60" spans="1:4">
      <c r="A80" s="152" t="s">
        <v>45</v>
      </c>
      <c r="B80" s="236" t="s">
        <v>112</v>
      </c>
      <c r="C80" s="235" t="s">
        <v>120</v>
      </c>
      <c r="D80" s="235" t="s">
        <v>119</v>
      </c>
    </row>
    <row r="81" ht="75" spans="1:4">
      <c r="A81" s="152" t="s">
        <v>48</v>
      </c>
      <c r="B81" s="236" t="s">
        <v>113</v>
      </c>
      <c r="C81" s="235" t="s">
        <v>120</v>
      </c>
      <c r="D81" s="237" t="s">
        <v>121</v>
      </c>
    </row>
    <row r="82" ht="60" spans="1:4">
      <c r="A82" s="152" t="s">
        <v>50</v>
      </c>
      <c r="B82" s="173" t="s">
        <v>114</v>
      </c>
      <c r="C82" s="235" t="s">
        <v>122</v>
      </c>
      <c r="D82" s="237" t="s">
        <v>123</v>
      </c>
    </row>
    <row r="83" ht="75" spans="1:4">
      <c r="A83" s="152" t="s">
        <v>53</v>
      </c>
      <c r="B83" s="173" t="s">
        <v>115</v>
      </c>
      <c r="C83" s="235" t="s">
        <v>120</v>
      </c>
      <c r="D83" s="237" t="s">
        <v>124</v>
      </c>
    </row>
    <row r="84" ht="60" spans="1:4">
      <c r="A84" s="152" t="s">
        <v>55</v>
      </c>
      <c r="B84" s="173" t="s">
        <v>116</v>
      </c>
      <c r="C84" s="235" t="s">
        <v>125</v>
      </c>
      <c r="D84" s="237" t="s">
        <v>126</v>
      </c>
    </row>
    <row r="86" customHeight="1" spans="1:4">
      <c r="A86" s="180" t="s">
        <v>127</v>
      </c>
      <c r="B86" s="180"/>
      <c r="C86" s="180"/>
      <c r="D86" s="180"/>
    </row>
    <row r="87" spans="1:4">
      <c r="A87" s="151" t="s">
        <v>128</v>
      </c>
      <c r="B87" s="151"/>
      <c r="C87" s="151"/>
      <c r="D87" s="151"/>
    </row>
    <row r="88" spans="1:4">
      <c r="A88" s="153" t="s">
        <v>129</v>
      </c>
      <c r="B88" s="158" t="s">
        <v>130</v>
      </c>
      <c r="C88" s="153" t="s">
        <v>131</v>
      </c>
      <c r="D88" s="153" t="s">
        <v>19</v>
      </c>
    </row>
    <row r="89" spans="1:4">
      <c r="A89" s="153" t="s">
        <v>42</v>
      </c>
      <c r="B89" t="s">
        <v>132</v>
      </c>
      <c r="C89" s="153">
        <v>20.71</v>
      </c>
      <c r="D89" s="160">
        <f>(((Módulo1[[#Totals],[Valor]]+ResumoMódulo2[[#Totals],[Valor]]+Módulo3[[#Totals],[Valor]])/30)*C89)/12</f>
        <v>115.043720096092</v>
      </c>
    </row>
    <row r="90" spans="1:4">
      <c r="A90" s="153" t="s">
        <v>45</v>
      </c>
      <c r="B90" t="s">
        <v>133</v>
      </c>
      <c r="C90" s="153">
        <v>1.4181</v>
      </c>
      <c r="D90" s="160">
        <f>(((Módulo1[[#Totals],[Valor]]+ResumoMódulo2[[#Totals],[Valor]]+Módulo3[[#Totals],[Valor]])/30)*C90)/12</f>
        <v>7.87752291010468</v>
      </c>
    </row>
    <row r="91" spans="1:4">
      <c r="A91" s="153" t="s">
        <v>48</v>
      </c>
      <c r="B91" t="s">
        <v>134</v>
      </c>
      <c r="C91" s="153">
        <v>0.1898</v>
      </c>
      <c r="D91" s="160">
        <f>(((Módulo1[[#Totals],[Valor]]+ResumoMódulo2[[#Totals],[Valor]]+Módulo3[[#Totals],[Valor]])/30)*C91)/12</f>
        <v>1.05433597654458</v>
      </c>
    </row>
    <row r="92" spans="1:4">
      <c r="A92" s="153" t="s">
        <v>50</v>
      </c>
      <c r="B92" t="s">
        <v>135</v>
      </c>
      <c r="C92" s="153">
        <v>0.9545</v>
      </c>
      <c r="D92" s="160">
        <f>(((Módulo1[[#Totals],[Valor]]+ResumoMódulo2[[#Totals],[Valor]]+Módulo3[[#Totals],[Valor]])/30)*C92)/12</f>
        <v>5.3022322951096</v>
      </c>
    </row>
    <row r="93" spans="1:4">
      <c r="A93" s="153" t="s">
        <v>53</v>
      </c>
      <c r="B93" t="s">
        <v>136</v>
      </c>
      <c r="C93" s="153">
        <v>2.4723</v>
      </c>
      <c r="D93" s="160">
        <f>(((Módulo1[[#Totals],[Valor]]+ResumoMódulo2[[#Totals],[Valor]]+Módulo3[[#Totals],[Valor]])/30)*C93)/12</f>
        <v>13.7335871170241</v>
      </c>
    </row>
    <row r="94" spans="1:4">
      <c r="A94" s="153" t="s">
        <v>55</v>
      </c>
      <c r="B94" t="s">
        <v>137</v>
      </c>
      <c r="C94" s="153">
        <v>3.4521</v>
      </c>
      <c r="D94" s="160">
        <f>(((Módulo1[[#Totals],[Valor]]+ResumoMódulo2[[#Totals],[Valor]]+Módulo3[[#Totals],[Valor]])/30)*C94)/12</f>
        <v>19.1763605091125</v>
      </c>
    </row>
    <row r="95" spans="1:4">
      <c r="A95" s="153" t="s">
        <v>58</v>
      </c>
      <c r="C95" s="153">
        <f>SUBTOTAL(109,Submódulo4.1[Dias de ausência])</f>
        <v>29.1968</v>
      </c>
      <c r="D95" s="160">
        <f>SUBTOTAL(109,Submódulo4.1[Valor])</f>
        <v>162.187758903987</v>
      </c>
    </row>
    <row r="96" spans="1:4">
      <c r="A96" s="153"/>
      <c r="C96" s="153"/>
      <c r="D96" s="160"/>
    </row>
    <row r="97" spans="1:4">
      <c r="A97" s="163" t="s">
        <v>138</v>
      </c>
      <c r="B97" s="163"/>
      <c r="C97" s="163"/>
      <c r="D97" s="163"/>
    </row>
    <row r="98" spans="1:4">
      <c r="A98" s="163" t="s">
        <v>16</v>
      </c>
      <c r="B98" s="163" t="s">
        <v>70</v>
      </c>
      <c r="C98" s="163" t="s">
        <v>71</v>
      </c>
      <c r="D98" s="163" t="s">
        <v>72</v>
      </c>
    </row>
    <row r="99" spans="1:4">
      <c r="A99" s="152" t="s">
        <v>139</v>
      </c>
      <c r="B99" s="234" t="s">
        <v>140</v>
      </c>
      <c r="C99" s="235"/>
      <c r="D99" s="235"/>
    </row>
    <row r="100" ht="45" spans="1:4">
      <c r="A100" s="152" t="s">
        <v>139</v>
      </c>
      <c r="B100" s="236" t="s">
        <v>141</v>
      </c>
      <c r="C100" s="235" t="s">
        <v>142</v>
      </c>
      <c r="D100" s="235" t="s">
        <v>143</v>
      </c>
    </row>
    <row r="101" spans="1:4">
      <c r="A101" s="153"/>
      <c r="C101" s="153"/>
      <c r="D101" s="160"/>
    </row>
    <row r="102" spans="1:4">
      <c r="A102" s="151" t="s">
        <v>144</v>
      </c>
      <c r="B102" s="151"/>
      <c r="C102" s="151"/>
      <c r="D102" s="151"/>
    </row>
    <row r="103" spans="1:4">
      <c r="A103" s="153" t="s">
        <v>145</v>
      </c>
      <c r="B103" s="158" t="s">
        <v>146</v>
      </c>
      <c r="C103" s="153" t="s">
        <v>18</v>
      </c>
      <c r="D103" s="153" t="s">
        <v>19</v>
      </c>
    </row>
    <row r="104" spans="1:4">
      <c r="A104" s="153" t="s">
        <v>42</v>
      </c>
      <c r="B104" t="s">
        <v>147</v>
      </c>
      <c r="C104" s="153"/>
      <c r="D104" s="160"/>
    </row>
    <row r="105" spans="1:4">
      <c r="A105" s="153" t="s">
        <v>58</v>
      </c>
      <c r="C105" s="153"/>
      <c r="D105" s="160">
        <f>SUBTOTAL(109,Submódulo4.2[Valor])</f>
        <v>0</v>
      </c>
    </row>
    <row r="107" spans="1:4">
      <c r="A107" s="151" t="s">
        <v>148</v>
      </c>
      <c r="B107" s="151"/>
      <c r="C107" s="151"/>
      <c r="D107" s="151"/>
    </row>
    <row r="108" spans="1:4">
      <c r="A108" s="153" t="s">
        <v>149</v>
      </c>
      <c r="B108" s="158" t="s">
        <v>150</v>
      </c>
      <c r="C108" s="153" t="s">
        <v>18</v>
      </c>
      <c r="D108" s="153" t="s">
        <v>19</v>
      </c>
    </row>
    <row r="109" spans="1:4">
      <c r="A109" s="153" t="s">
        <v>129</v>
      </c>
      <c r="B109" t="s">
        <v>130</v>
      </c>
      <c r="D109" s="160">
        <f>Submódulo4.1[[#Totals],[Valor]]</f>
        <v>162.187758903987</v>
      </c>
    </row>
    <row r="110" spans="1:4">
      <c r="A110" s="153" t="s">
        <v>145</v>
      </c>
      <c r="B110" t="s">
        <v>151</v>
      </c>
      <c r="D110" s="160">
        <f>Submódulo4.2[[#Totals],[Valor]]</f>
        <v>0</v>
      </c>
    </row>
    <row r="111" spans="1:4">
      <c r="A111" s="153" t="s">
        <v>58</v>
      </c>
      <c r="D111" s="160">
        <f>SUBTOTAL(109,ResumoMódulo4[Valor])</f>
        <v>162.187758903987</v>
      </c>
    </row>
    <row r="113" spans="1:4">
      <c r="A113" s="131" t="s">
        <v>152</v>
      </c>
      <c r="B113" s="131"/>
      <c r="C113" s="131"/>
      <c r="D113" s="131"/>
    </row>
    <row r="114" spans="1:4">
      <c r="A114" s="153" t="s">
        <v>153</v>
      </c>
      <c r="B114" s="158" t="s">
        <v>154</v>
      </c>
      <c r="C114" s="153" t="s">
        <v>18</v>
      </c>
      <c r="D114" s="153" t="s">
        <v>19</v>
      </c>
    </row>
    <row r="115" spans="1:4">
      <c r="A115" s="153" t="s">
        <v>42</v>
      </c>
      <c r="B115" t="s">
        <v>155</v>
      </c>
      <c r="D115" s="160" t="e">
        <f>#REF!</f>
        <v>#REF!</v>
      </c>
    </row>
    <row r="116" spans="1:4">
      <c r="A116" s="153" t="s">
        <v>45</v>
      </c>
      <c r="B116" t="s">
        <v>156</v>
      </c>
      <c r="D116" s="160" t="e">
        <f>#REF!/#REF!</f>
        <v>#REF!</v>
      </c>
    </row>
    <row r="117" spans="1:4">
      <c r="A117" s="153" t="s">
        <v>48</v>
      </c>
      <c r="B117" t="s">
        <v>157</v>
      </c>
      <c r="D117" s="160" t="e">
        <f>#REF!/#REF!</f>
        <v>#REF!</v>
      </c>
    </row>
    <row r="118" spans="1:4">
      <c r="A118" s="153" t="s">
        <v>50</v>
      </c>
      <c r="B118" t="s">
        <v>158</v>
      </c>
      <c r="D118" s="160"/>
    </row>
    <row r="119" spans="1:4">
      <c r="A119" s="153" t="s">
        <v>58</v>
      </c>
      <c r="D119" s="160" t="e">
        <f>SUBTOTAL(109,Módulo5[Valor])</f>
        <v>#REF!</v>
      </c>
    </row>
    <row r="120" spans="1:4">
      <c r="A120" s="153"/>
      <c r="D120" s="160"/>
    </row>
    <row r="121" spans="1:4">
      <c r="A121" s="163" t="s">
        <v>159</v>
      </c>
      <c r="B121" s="163"/>
      <c r="C121" s="163"/>
      <c r="D121" s="163"/>
    </row>
    <row r="122" spans="1:4">
      <c r="A122" s="163" t="s">
        <v>16</v>
      </c>
      <c r="B122" s="163" t="s">
        <v>70</v>
      </c>
      <c r="C122" s="163" t="s">
        <v>71</v>
      </c>
      <c r="D122" s="163" t="s">
        <v>72</v>
      </c>
    </row>
    <row r="123" spans="1:4">
      <c r="A123" s="152" t="s">
        <v>42</v>
      </c>
      <c r="B123" s="234" t="s">
        <v>155</v>
      </c>
      <c r="C123" s="235" t="s">
        <v>160</v>
      </c>
      <c r="D123" s="235"/>
    </row>
    <row r="124" ht="30" spans="1:4">
      <c r="A124" s="152" t="s">
        <v>45</v>
      </c>
      <c r="B124" s="236" t="s">
        <v>156</v>
      </c>
      <c r="C124" s="235" t="s">
        <v>161</v>
      </c>
      <c r="D124" s="235" t="s">
        <v>162</v>
      </c>
    </row>
    <row r="125" ht="30" spans="1:4">
      <c r="A125" s="152" t="s">
        <v>48</v>
      </c>
      <c r="B125" s="236" t="s">
        <v>157</v>
      </c>
      <c r="C125" s="235" t="s">
        <v>163</v>
      </c>
      <c r="D125" s="235" t="s">
        <v>162</v>
      </c>
    </row>
    <row r="126" spans="1:4">
      <c r="A126" s="152" t="s">
        <v>50</v>
      </c>
      <c r="B126" s="236" t="s">
        <v>158</v>
      </c>
      <c r="C126" s="235"/>
      <c r="D126" s="235"/>
    </row>
    <row r="128" spans="1:4">
      <c r="A128" s="131" t="s">
        <v>164</v>
      </c>
      <c r="B128" s="131"/>
      <c r="C128" s="131"/>
      <c r="D128" s="131"/>
    </row>
    <row r="129" outlineLevel="1" spans="1:4">
      <c r="A129" s="153" t="s">
        <v>165</v>
      </c>
      <c r="B129" t="s">
        <v>166</v>
      </c>
      <c r="C129" s="153" t="s">
        <v>38</v>
      </c>
      <c r="D129" s="153" t="s">
        <v>19</v>
      </c>
    </row>
    <row r="130" outlineLevel="1" spans="1:4">
      <c r="A130" s="153" t="s">
        <v>42</v>
      </c>
      <c r="B130" t="s">
        <v>167</v>
      </c>
      <c r="C130" s="164">
        <f>G16</f>
        <v>0.0471</v>
      </c>
      <c r="D130" s="160" t="e">
        <f>Módulo6[[#This Row],[Percentual]]*(D141+D142+D143+D144+D145)</f>
        <v>#REF!</v>
      </c>
    </row>
    <row r="131" outlineLevel="1" spans="1:4">
      <c r="A131" s="153" t="s">
        <v>45</v>
      </c>
      <c r="B131" t="s">
        <v>59</v>
      </c>
      <c r="C131" s="164">
        <f>G17</f>
        <v>0.0467</v>
      </c>
      <c r="D131" s="160" t="e">
        <f>(SUM(D141:D145)+D130)*Módulo6[[#This Row],[Percentual]]</f>
        <v>#REF!</v>
      </c>
    </row>
    <row r="132" spans="1:4">
      <c r="A132" s="153" t="s">
        <v>48</v>
      </c>
      <c r="B132" t="s">
        <v>168</v>
      </c>
      <c r="C132" s="164">
        <f>SUM(C133:C135)</f>
        <v>0.1425</v>
      </c>
      <c r="D132" s="160" t="e">
        <f>Módulo6[[#This Row],[Percentual]]*D148</f>
        <v>#REF!</v>
      </c>
    </row>
    <row r="133" spans="1:4">
      <c r="A133" s="153" t="s">
        <v>169</v>
      </c>
      <c r="B133" t="s">
        <v>60</v>
      </c>
      <c r="C133" s="164">
        <f>G18</f>
        <v>0.0165</v>
      </c>
      <c r="D133" s="160" t="e">
        <f>Módulo6[[#This Row],[Percentual]]*D148</f>
        <v>#REF!</v>
      </c>
    </row>
    <row r="134" spans="1:4">
      <c r="A134" s="153" t="s">
        <v>170</v>
      </c>
      <c r="B134" t="s">
        <v>62</v>
      </c>
      <c r="C134" s="164">
        <f>G19</f>
        <v>0.076</v>
      </c>
      <c r="D134" s="160" t="e">
        <f>Módulo6[[#This Row],[Percentual]]*D148</f>
        <v>#REF!</v>
      </c>
    </row>
    <row r="135" spans="1:4">
      <c r="A135" s="153" t="s">
        <v>171</v>
      </c>
      <c r="B135" t="s">
        <v>64</v>
      </c>
      <c r="C135" s="164">
        <f>G20</f>
        <v>0.05</v>
      </c>
      <c r="D135" s="160" t="e">
        <f>Módulo6[[#This Row],[Percentual]]*D148</f>
        <v>#REF!</v>
      </c>
    </row>
    <row r="136" spans="1:4">
      <c r="A136" s="153" t="s">
        <v>58</v>
      </c>
      <c r="C136" s="197"/>
      <c r="D136" s="160" t="e">
        <f>SUM(D130:D132)</f>
        <v>#REF!</v>
      </c>
    </row>
    <row r="137" spans="1:4">
      <c r="A137" s="153"/>
      <c r="C137" s="197"/>
      <c r="D137" s="160"/>
    </row>
    <row r="139" spans="1:4">
      <c r="A139" s="131" t="s">
        <v>172</v>
      </c>
      <c r="B139" s="131"/>
      <c r="C139" s="131"/>
      <c r="D139" s="131"/>
    </row>
    <row r="140" spans="1:4">
      <c r="A140" s="153" t="s">
        <v>16</v>
      </c>
      <c r="B140" s="153" t="s">
        <v>173</v>
      </c>
      <c r="C140" s="153" t="s">
        <v>102</v>
      </c>
      <c r="D140" s="153" t="s">
        <v>19</v>
      </c>
    </row>
    <row r="141" spans="1:4">
      <c r="A141" s="153" t="s">
        <v>42</v>
      </c>
      <c r="B141" t="s">
        <v>36</v>
      </c>
      <c r="D141" s="160">
        <f>Módulo1[[#Totals],[Valor]]</f>
        <v>998</v>
      </c>
    </row>
    <row r="142" spans="1:4">
      <c r="A142" s="153" t="s">
        <v>45</v>
      </c>
      <c r="B142" t="s">
        <v>61</v>
      </c>
      <c r="D142" s="160">
        <f>ResumoMódulo2[[#Totals],[Valor]]</f>
        <v>843.932</v>
      </c>
    </row>
    <row r="143" spans="1:4">
      <c r="A143" s="153" t="s">
        <v>48</v>
      </c>
      <c r="B143" t="s">
        <v>108</v>
      </c>
      <c r="D143" s="160">
        <f>Módulo3[[#Totals],[Valor]]</f>
        <v>157.862265311111</v>
      </c>
    </row>
    <row r="144" spans="1:4">
      <c r="A144" s="153" t="s">
        <v>50</v>
      </c>
      <c r="B144" t="s">
        <v>174</v>
      </c>
      <c r="D144" s="160">
        <f>ResumoMódulo4[[#Totals],[Valor]]</f>
        <v>162.187758903987</v>
      </c>
    </row>
    <row r="145" spans="1:4">
      <c r="A145" s="153" t="s">
        <v>53</v>
      </c>
      <c r="B145" t="s">
        <v>152</v>
      </c>
      <c r="D145" s="160" t="e">
        <f>Módulo5[[#Totals],[Valor]]</f>
        <v>#REF!</v>
      </c>
    </row>
    <row r="146" spans="1:4">
      <c r="A146" t="s">
        <v>175</v>
      </c>
      <c r="D146" s="160" t="e">
        <f>SUM(D141:D145)</f>
        <v>#REF!</v>
      </c>
    </row>
    <row r="147" spans="1:4">
      <c r="A147" s="153" t="s">
        <v>55</v>
      </c>
      <c r="B147" t="s">
        <v>164</v>
      </c>
      <c r="D147" s="160" t="e">
        <f>Módulo6[[#Totals],[Valor]]</f>
        <v>#REF!</v>
      </c>
    </row>
    <row r="148" spans="1:4">
      <c r="A148" s="201" t="s">
        <v>176</v>
      </c>
      <c r="B148" s="201"/>
      <c r="C148" s="201"/>
      <c r="D148" s="238"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topLeftCell="A115" workbookViewId="0">
      <selection activeCell="D152" sqref="D152"/>
    </sheetView>
  </sheetViews>
  <sheetFormatPr defaultColWidth="9.14285714285714" defaultRowHeight="15" outlineLevelCol="6"/>
  <cols>
    <col min="1" max="1" width="12" style="209" customWidth="1"/>
    <col min="2" max="2" width="56.1904761904762" customWidth="1"/>
    <col min="3" max="3" width="32.2190476190476" customWidth="1"/>
    <col min="4" max="4" width="41" customWidth="1"/>
    <col min="6" max="6" width="22.8571428571429" customWidth="1"/>
    <col min="7" max="7" width="15.552380952381" customWidth="1"/>
    <col min="9" max="9" width="11.4285714285714"/>
  </cols>
  <sheetData>
    <row r="2" ht="19.5" spans="1:4">
      <c r="A2" s="121" t="s">
        <v>177</v>
      </c>
      <c r="B2" s="122"/>
      <c r="C2" s="122"/>
      <c r="D2" s="122"/>
    </row>
    <row r="3" ht="15.75" spans="1:4">
      <c r="A3" s="210" t="s">
        <v>178</v>
      </c>
      <c r="B3" s="211"/>
      <c r="C3" s="211"/>
      <c r="D3" s="211"/>
    </row>
    <row r="4" spans="1:4">
      <c r="A4" s="203" t="s">
        <v>179</v>
      </c>
      <c r="B4" s="126" t="s">
        <v>180</v>
      </c>
      <c r="C4" s="127"/>
      <c r="D4" s="127"/>
    </row>
    <row r="5" spans="1:4">
      <c r="A5" s="212"/>
      <c r="B5" s="129"/>
      <c r="C5" s="129"/>
      <c r="D5" s="129"/>
    </row>
    <row r="6" ht="15.75" spans="1:4">
      <c r="A6" s="130" t="s">
        <v>181</v>
      </c>
      <c r="B6" s="131"/>
      <c r="C6" s="131"/>
      <c r="D6" s="131"/>
    </row>
    <row r="7" ht="15.75" spans="1:4">
      <c r="A7" s="132" t="s">
        <v>42</v>
      </c>
      <c r="B7" s="133" t="s">
        <v>182</v>
      </c>
      <c r="C7" s="134" t="s">
        <v>183</v>
      </c>
      <c r="D7" s="134"/>
    </row>
    <row r="8" spans="1:4">
      <c r="A8" s="135" t="s">
        <v>45</v>
      </c>
      <c r="B8" s="136" t="s">
        <v>184</v>
      </c>
      <c r="C8" s="137" t="s">
        <v>185</v>
      </c>
      <c r="D8" s="137"/>
    </row>
    <row r="9" spans="1:4">
      <c r="A9" s="138" t="s">
        <v>48</v>
      </c>
      <c r="B9" s="139" t="s">
        <v>186</v>
      </c>
      <c r="C9" s="137" t="s">
        <v>187</v>
      </c>
      <c r="D9" s="137"/>
    </row>
    <row r="10" spans="1:4">
      <c r="A10" s="135" t="s">
        <v>53</v>
      </c>
      <c r="B10" s="136" t="s">
        <v>188</v>
      </c>
      <c r="C10" s="137" t="s">
        <v>189</v>
      </c>
      <c r="D10" s="137"/>
    </row>
    <row r="11" ht="15.75" spans="1:4">
      <c r="A11" s="140" t="s">
        <v>190</v>
      </c>
      <c r="B11" s="141"/>
      <c r="C11" s="141"/>
      <c r="D11" s="141"/>
    </row>
    <row r="12" ht="16.5" spans="1:4">
      <c r="A12" s="142" t="s">
        <v>191</v>
      </c>
      <c r="B12" s="143"/>
      <c r="C12" s="141" t="s">
        <v>192</v>
      </c>
      <c r="D12" s="144" t="s">
        <v>193</v>
      </c>
    </row>
    <row r="13" ht="15.75" spans="1:4">
      <c r="A13" s="145" t="s">
        <v>194</v>
      </c>
      <c r="B13" s="146"/>
      <c r="C13" s="137" t="s">
        <v>195</v>
      </c>
      <c r="D13" s="147">
        <f>RESUMO!D3</f>
        <v>1</v>
      </c>
    </row>
    <row r="14" spans="1:4">
      <c r="A14" s="148"/>
      <c r="B14" s="149"/>
      <c r="C14" s="137"/>
      <c r="D14" s="150"/>
    </row>
    <row r="15" ht="15.75" spans="1:7">
      <c r="A15" s="140" t="s">
        <v>14</v>
      </c>
      <c r="B15" s="141"/>
      <c r="C15" s="141"/>
      <c r="D15" s="141"/>
      <c r="F15" s="151"/>
      <c r="G15" s="151"/>
    </row>
    <row r="16" ht="15.75" spans="1:4">
      <c r="A16" s="152" t="s">
        <v>16</v>
      </c>
      <c r="B16" t="s">
        <v>17</v>
      </c>
      <c r="C16" s="153" t="s">
        <v>18</v>
      </c>
      <c r="D16" s="153" t="s">
        <v>19</v>
      </c>
    </row>
    <row r="17" spans="1:4">
      <c r="A17" s="152">
        <v>1</v>
      </c>
      <c r="B17" t="s">
        <v>20</v>
      </c>
      <c r="C17" s="154" t="s">
        <v>102</v>
      </c>
      <c r="D17" s="154" t="str">
        <f>A13</f>
        <v>Pedreiro</v>
      </c>
    </row>
    <row r="18" spans="1:4">
      <c r="A18" s="152">
        <v>2</v>
      </c>
      <c r="B18" t="s">
        <v>23</v>
      </c>
      <c r="C18" s="154" t="s">
        <v>196</v>
      </c>
      <c r="D18" s="154" t="s">
        <v>197</v>
      </c>
    </row>
    <row r="19" spans="1:4">
      <c r="A19" s="152">
        <v>3</v>
      </c>
      <c r="B19" t="s">
        <v>26</v>
      </c>
      <c r="C19" s="154" t="str">
        <f>C9</f>
        <v>CCT PB000071/2023</v>
      </c>
      <c r="D19" s="155">
        <v>1716.86</v>
      </c>
    </row>
    <row r="20" spans="1:4">
      <c r="A20" s="152">
        <v>4</v>
      </c>
      <c r="B20" t="s">
        <v>29</v>
      </c>
      <c r="C20" s="154" t="str">
        <f>C9</f>
        <v>CCT PB000071/2023</v>
      </c>
      <c r="D20" s="156" t="s">
        <v>198</v>
      </c>
    </row>
    <row r="21" spans="1:4">
      <c r="A21" s="152">
        <v>5</v>
      </c>
      <c r="B21" t="s">
        <v>33</v>
      </c>
      <c r="C21" s="154" t="str">
        <f>C9</f>
        <v>CCT PB000071/2023</v>
      </c>
      <c r="D21" s="157" t="s">
        <v>199</v>
      </c>
    </row>
    <row r="22" spans="6:7">
      <c r="F22" s="151"/>
      <c r="G22" s="151"/>
    </row>
    <row r="23" spans="1:4">
      <c r="A23" s="130" t="s">
        <v>36</v>
      </c>
      <c r="B23" s="131"/>
      <c r="C23" s="131"/>
      <c r="D23" s="131"/>
    </row>
    <row r="24" spans="1:7">
      <c r="A24" s="152" t="s">
        <v>39</v>
      </c>
      <c r="B24" s="158" t="s">
        <v>40</v>
      </c>
      <c r="C24" s="153" t="s">
        <v>18</v>
      </c>
      <c r="D24" s="153" t="s">
        <v>19</v>
      </c>
      <c r="G24" s="159"/>
    </row>
    <row r="25" spans="1:7">
      <c r="A25" s="152" t="s">
        <v>42</v>
      </c>
      <c r="B25" t="s">
        <v>43</v>
      </c>
      <c r="C25" s="156" t="s">
        <v>200</v>
      </c>
      <c r="D25" s="155">
        <f>D19</f>
        <v>1716.86</v>
      </c>
      <c r="G25" s="159"/>
    </row>
    <row r="26" spans="1:7">
      <c r="A26" s="152" t="s">
        <v>45</v>
      </c>
      <c r="B26" t="s">
        <v>46</v>
      </c>
      <c r="C26" s="156"/>
      <c r="D26" s="155">
        <v>0</v>
      </c>
      <c r="G26" s="159"/>
    </row>
    <row r="27" spans="1:4">
      <c r="A27" s="152" t="s">
        <v>48</v>
      </c>
      <c r="B27" t="s">
        <v>49</v>
      </c>
      <c r="C27" s="156"/>
      <c r="D27" s="155">
        <v>0</v>
      </c>
    </row>
    <row r="28" spans="1:4">
      <c r="A28" s="152" t="s">
        <v>50</v>
      </c>
      <c r="B28" t="s">
        <v>51</v>
      </c>
      <c r="C28" s="156"/>
      <c r="D28" s="155">
        <v>0</v>
      </c>
    </row>
    <row r="29" spans="1:4">
      <c r="A29" s="152" t="s">
        <v>53</v>
      </c>
      <c r="B29" t="s">
        <v>54</v>
      </c>
      <c r="C29" s="156"/>
      <c r="D29" s="155">
        <v>0</v>
      </c>
    </row>
    <row r="30" spans="1:4">
      <c r="A30" s="152" t="s">
        <v>55</v>
      </c>
      <c r="B30" t="s">
        <v>56</v>
      </c>
      <c r="C30" s="156"/>
      <c r="D30" s="155">
        <v>0</v>
      </c>
    </row>
    <row r="31" spans="1:7">
      <c r="A31" s="152" t="s">
        <v>58</v>
      </c>
      <c r="C31" s="153"/>
      <c r="D31" s="160">
        <f>TRUNC((SUM(D25:D30)),2)</f>
        <v>1716.86</v>
      </c>
      <c r="F31" s="151"/>
      <c r="G31" s="151"/>
    </row>
    <row r="33" spans="1:7">
      <c r="A33" s="161" t="s">
        <v>61</v>
      </c>
      <c r="B33" s="162"/>
      <c r="C33" s="162"/>
      <c r="D33" s="162"/>
      <c r="G33" s="159"/>
    </row>
    <row r="35" spans="1:4">
      <c r="A35" s="163" t="s">
        <v>63</v>
      </c>
      <c r="B35" s="151"/>
      <c r="C35" s="151"/>
      <c r="D35" s="151"/>
    </row>
    <row r="36" spans="1:4">
      <c r="A36" s="152" t="s">
        <v>65</v>
      </c>
      <c r="B36" s="158" t="s">
        <v>66</v>
      </c>
      <c r="C36" s="153" t="s">
        <v>38</v>
      </c>
      <c r="D36" s="153" t="s">
        <v>19</v>
      </c>
    </row>
    <row r="37" spans="1:7">
      <c r="A37" s="152" t="s">
        <v>42</v>
      </c>
      <c r="B37" t="s">
        <v>67</v>
      </c>
      <c r="C37" s="164">
        <f>(1/12)</f>
        <v>0.0833333333333333</v>
      </c>
      <c r="D37" s="160">
        <f>TRUNC($D$31*C37,2)</f>
        <v>143.07</v>
      </c>
      <c r="F37" s="165"/>
      <c r="G37" s="165"/>
    </row>
    <row r="38" spans="1:7">
      <c r="A38" s="152" t="s">
        <v>45</v>
      </c>
      <c r="B38" t="s">
        <v>68</v>
      </c>
      <c r="C38" s="164">
        <f>(((1+1/3)/12))</f>
        <v>0.111111111111111</v>
      </c>
      <c r="D38" s="160">
        <f>TRUNC($D$31*C38,2)</f>
        <v>190.76</v>
      </c>
      <c r="F38" s="165"/>
      <c r="G38" s="165"/>
    </row>
    <row r="39" spans="1:7">
      <c r="A39" s="152" t="s">
        <v>58</v>
      </c>
      <c r="D39" s="160">
        <f>TRUNC((SUM(D37:D38)),2)</f>
        <v>333.83</v>
      </c>
      <c r="F39" s="165"/>
      <c r="G39" s="165"/>
    </row>
    <row r="40" ht="15.75" spans="4:7">
      <c r="D40" s="160"/>
      <c r="F40" s="165"/>
      <c r="G40" s="165"/>
    </row>
    <row r="41" ht="16.5" spans="1:7">
      <c r="A41" s="161" t="s">
        <v>201</v>
      </c>
      <c r="B41" s="161"/>
      <c r="C41" s="166" t="s">
        <v>202</v>
      </c>
      <c r="D41" s="167">
        <f>D31</f>
        <v>1716.86</v>
      </c>
      <c r="F41" s="165"/>
      <c r="G41" s="165"/>
    </row>
    <row r="42" ht="16.5" spans="1:7">
      <c r="A42" s="161"/>
      <c r="B42" s="161"/>
      <c r="C42" s="168" t="s">
        <v>203</v>
      </c>
      <c r="D42" s="167">
        <f>D39</f>
        <v>333.83</v>
      </c>
      <c r="F42" s="165"/>
      <c r="G42" s="165"/>
    </row>
    <row r="43" ht="16.5" spans="1:7">
      <c r="A43" s="161"/>
      <c r="B43" s="161"/>
      <c r="C43" s="166" t="s">
        <v>204</v>
      </c>
      <c r="D43" s="169">
        <f>TRUNC((SUM(D41:D42)),2)</f>
        <v>2050.69</v>
      </c>
      <c r="F43" s="165"/>
      <c r="G43" s="165"/>
    </row>
    <row r="44" ht="15.75" spans="1:7">
      <c r="A44" s="152"/>
      <c r="C44" s="170"/>
      <c r="D44" s="160"/>
      <c r="F44" s="165"/>
      <c r="G44" s="165"/>
    </row>
    <row r="45" spans="1:4">
      <c r="A45" s="163" t="s">
        <v>77</v>
      </c>
      <c r="B45" s="151"/>
      <c r="C45" s="151"/>
      <c r="D45" s="151"/>
    </row>
    <row r="46" spans="1:4">
      <c r="A46" s="152" t="s">
        <v>78</v>
      </c>
      <c r="B46" s="158" t="s">
        <v>79</v>
      </c>
      <c r="C46" s="153" t="s">
        <v>38</v>
      </c>
      <c r="D46" s="153" t="s">
        <v>80</v>
      </c>
    </row>
    <row r="47" spans="1:4">
      <c r="A47" s="152" t="s">
        <v>42</v>
      </c>
      <c r="B47" t="s">
        <v>81</v>
      </c>
      <c r="C47" s="164">
        <v>0.2</v>
      </c>
      <c r="D47" s="160">
        <f>TRUNC(($D$43*C47),2)</f>
        <v>410.13</v>
      </c>
    </row>
    <row r="48" spans="1:4">
      <c r="A48" s="152" t="s">
        <v>45</v>
      </c>
      <c r="B48" t="s">
        <v>82</v>
      </c>
      <c r="C48" s="164">
        <v>0.025</v>
      </c>
      <c r="D48" s="160">
        <f t="shared" ref="D47:D54" si="0">TRUNC(($D$43*C48),2)</f>
        <v>51.26</v>
      </c>
    </row>
    <row r="49" spans="1:4">
      <c r="A49" s="152" t="s">
        <v>48</v>
      </c>
      <c r="B49" t="s">
        <v>205</v>
      </c>
      <c r="C49" s="171">
        <v>0.06</v>
      </c>
      <c r="D49" s="155">
        <f t="shared" si="0"/>
        <v>123.04</v>
      </c>
    </row>
    <row r="50" spans="1:4">
      <c r="A50" s="152" t="s">
        <v>50</v>
      </c>
      <c r="B50" t="s">
        <v>84</v>
      </c>
      <c r="C50" s="164">
        <v>0.015</v>
      </c>
      <c r="D50" s="160">
        <f t="shared" si="0"/>
        <v>30.76</v>
      </c>
    </row>
    <row r="51" spans="1:4">
      <c r="A51" s="152" t="s">
        <v>53</v>
      </c>
      <c r="B51" t="s">
        <v>85</v>
      </c>
      <c r="C51" s="164">
        <v>0.01</v>
      </c>
      <c r="D51" s="160">
        <f t="shared" si="0"/>
        <v>20.5</v>
      </c>
    </row>
    <row r="52" spans="1:4">
      <c r="A52" s="152" t="s">
        <v>55</v>
      </c>
      <c r="B52" t="s">
        <v>86</v>
      </c>
      <c r="C52" s="164">
        <v>0.006</v>
      </c>
      <c r="D52" s="160">
        <f t="shared" si="0"/>
        <v>12.3</v>
      </c>
    </row>
    <row r="53" spans="1:4">
      <c r="A53" s="152" t="s">
        <v>87</v>
      </c>
      <c r="B53" t="s">
        <v>88</v>
      </c>
      <c r="C53" s="164">
        <v>0.002</v>
      </c>
      <c r="D53" s="160">
        <f t="shared" si="0"/>
        <v>4.1</v>
      </c>
    </row>
    <row r="54" spans="1:4">
      <c r="A54" s="152" t="s">
        <v>89</v>
      </c>
      <c r="B54" t="s">
        <v>90</v>
      </c>
      <c r="C54" s="164">
        <v>0.08</v>
      </c>
      <c r="D54" s="160">
        <f t="shared" si="0"/>
        <v>164.05</v>
      </c>
    </row>
    <row r="55" spans="1:4">
      <c r="A55" s="152" t="s">
        <v>58</v>
      </c>
      <c r="C55" s="170">
        <f>SUM(C47:C54)</f>
        <v>0.398</v>
      </c>
      <c r="D55" s="160">
        <f>TRUNC(SUM(D47:D54),2)</f>
        <v>816.14</v>
      </c>
    </row>
    <row r="56" spans="1:4">
      <c r="A56" s="152"/>
      <c r="C56" s="170"/>
      <c r="D56" s="160"/>
    </row>
    <row r="57" spans="1:4">
      <c r="A57" s="163" t="s">
        <v>95</v>
      </c>
      <c r="B57" s="151"/>
      <c r="C57" s="151"/>
      <c r="D57" s="151"/>
    </row>
    <row r="58" spans="1:4">
      <c r="A58" s="152" t="s">
        <v>96</v>
      </c>
      <c r="B58" s="158" t="s">
        <v>97</v>
      </c>
      <c r="C58" s="153" t="s">
        <v>18</v>
      </c>
      <c r="D58" s="153" t="s">
        <v>19</v>
      </c>
    </row>
    <row r="59" spans="1:4">
      <c r="A59" s="152" t="s">
        <v>42</v>
      </c>
      <c r="B59" t="s">
        <v>98</v>
      </c>
      <c r="C59" s="154"/>
      <c r="D59" s="172">
        <f>TRUNC(((22*4.7)*2)-((D25/100)*6),2)</f>
        <v>103.78</v>
      </c>
    </row>
    <row r="60" spans="1:4">
      <c r="A60" s="152" t="s">
        <v>45</v>
      </c>
      <c r="B60" t="s">
        <v>99</v>
      </c>
      <c r="C60" s="154" t="str">
        <f>C9</f>
        <v>CCT PB000071/2023</v>
      </c>
      <c r="D60" s="155">
        <f>TRUNC((((500))-(((500))*0.2)),2)</f>
        <v>400</v>
      </c>
    </row>
    <row r="61" spans="1:4">
      <c r="A61" s="152" t="s">
        <v>48</v>
      </c>
      <c r="B61" t="s">
        <v>100</v>
      </c>
      <c r="C61" s="154"/>
      <c r="D61" s="155">
        <v>0</v>
      </c>
    </row>
    <row r="62" spans="1:6">
      <c r="A62" s="152" t="s">
        <v>50</v>
      </c>
      <c r="B62" s="173" t="s">
        <v>206</v>
      </c>
      <c r="C62" s="174"/>
      <c r="D62" s="174">
        <v>0</v>
      </c>
      <c r="F62" s="173"/>
    </row>
    <row r="63" spans="1:4">
      <c r="A63" s="152" t="s">
        <v>53</v>
      </c>
      <c r="B63" s="158" t="s">
        <v>207</v>
      </c>
      <c r="C63" s="154" t="str">
        <f>C60</f>
        <v>CCT PB000071/2023</v>
      </c>
      <c r="D63" s="155">
        <v>20</v>
      </c>
    </row>
    <row r="64" spans="1:4">
      <c r="A64" s="152" t="s">
        <v>55</v>
      </c>
      <c r="B64" s="175" t="s">
        <v>208</v>
      </c>
      <c r="C64" s="154" t="str">
        <f>C9</f>
        <v>CCT PB000071/2023</v>
      </c>
      <c r="D64" s="155">
        <v>5</v>
      </c>
    </row>
    <row r="65" spans="1:4">
      <c r="A65" s="152" t="s">
        <v>87</v>
      </c>
      <c r="B65" s="175" t="s">
        <v>209</v>
      </c>
      <c r="C65" s="174" t="str">
        <f>C60</f>
        <v>CCT PB000071/2023</v>
      </c>
      <c r="D65" s="155">
        <v>40</v>
      </c>
    </row>
    <row r="66" spans="1:4">
      <c r="A66" s="152" t="s">
        <v>58</v>
      </c>
      <c r="D66" s="160">
        <f>TRUNC((SUM(D59:D65)),2)</f>
        <v>568.78</v>
      </c>
    </row>
    <row r="67" spans="1:4">
      <c r="A67" s="152"/>
      <c r="D67" s="160"/>
    </row>
    <row r="68" spans="1:4">
      <c r="A68" s="163" t="s">
        <v>105</v>
      </c>
      <c r="B68" s="151"/>
      <c r="C68" s="151"/>
      <c r="D68" s="151"/>
    </row>
    <row r="69" spans="1:4">
      <c r="A69" s="152" t="s">
        <v>106</v>
      </c>
      <c r="B69" s="158" t="s">
        <v>107</v>
      </c>
      <c r="C69" s="153" t="s">
        <v>18</v>
      </c>
      <c r="D69" s="153" t="s">
        <v>19</v>
      </c>
    </row>
    <row r="70" spans="1:4">
      <c r="A70" s="152" t="s">
        <v>65</v>
      </c>
      <c r="B70" t="s">
        <v>66</v>
      </c>
      <c r="C70" s="153"/>
      <c r="D70" s="160">
        <f>D39</f>
        <v>333.83</v>
      </c>
    </row>
    <row r="71" spans="1:4">
      <c r="A71" s="152" t="s">
        <v>78</v>
      </c>
      <c r="B71" t="s">
        <v>79</v>
      </c>
      <c r="C71" s="153"/>
      <c r="D71" s="160">
        <f>D55</f>
        <v>816.14</v>
      </c>
    </row>
    <row r="72" spans="1:4">
      <c r="A72" s="152" t="s">
        <v>96</v>
      </c>
      <c r="B72" t="s">
        <v>97</v>
      </c>
      <c r="C72" s="153"/>
      <c r="D72" s="160">
        <f>D66</f>
        <v>568.78</v>
      </c>
    </row>
    <row r="73" spans="1:4">
      <c r="A73" s="152" t="s">
        <v>58</v>
      </c>
      <c r="C73" s="153"/>
      <c r="D73" s="160">
        <f>TRUNC((SUM(D70:D72)),2)</f>
        <v>1718.75</v>
      </c>
    </row>
    <row r="75" spans="1:4">
      <c r="A75" s="130" t="s">
        <v>108</v>
      </c>
      <c r="B75" s="131"/>
      <c r="C75" s="131"/>
      <c r="D75" s="131"/>
    </row>
    <row r="76" spans="1:4">
      <c r="A76" s="152" t="s">
        <v>109</v>
      </c>
      <c r="B76" s="158" t="s">
        <v>110</v>
      </c>
      <c r="C76" s="153" t="s">
        <v>38</v>
      </c>
      <c r="D76" s="153" t="s">
        <v>19</v>
      </c>
    </row>
    <row r="77" spans="1:4">
      <c r="A77" s="152" t="s">
        <v>42</v>
      </c>
      <c r="B77" s="208" t="s">
        <v>111</v>
      </c>
      <c r="C77" s="171">
        <f>((1/12)*2%)</f>
        <v>0.00166666666666667</v>
      </c>
      <c r="D77" s="155">
        <f>TRUNC(($D$31*C77),2)</f>
        <v>2.86</v>
      </c>
    </row>
    <row r="78" spans="1:4">
      <c r="A78" s="152" t="s">
        <v>45</v>
      </c>
      <c r="B78" s="208" t="s">
        <v>112</v>
      </c>
      <c r="C78" s="176">
        <v>0.08</v>
      </c>
      <c r="D78" s="160">
        <f>TRUNC(($D$77*C78),2)</f>
        <v>0.22</v>
      </c>
    </row>
    <row r="79" ht="30" spans="1:4">
      <c r="A79" s="152" t="s">
        <v>48</v>
      </c>
      <c r="B79" s="213" t="s">
        <v>113</v>
      </c>
      <c r="C79" s="178">
        <f>(0.08*0.4*0.02)</f>
        <v>0.00064</v>
      </c>
      <c r="D79" s="174">
        <f>TRUNC(($D$31*C79),2)</f>
        <v>1.09</v>
      </c>
    </row>
    <row r="80" spans="1:4">
      <c r="A80" s="152" t="s">
        <v>50</v>
      </c>
      <c r="B80" s="208" t="s">
        <v>114</v>
      </c>
      <c r="C80" s="176">
        <f>(((7/30)/12)*0.98)</f>
        <v>0.0190555555555556</v>
      </c>
      <c r="D80" s="160">
        <f>TRUNC(($D$31*C80),2)</f>
        <v>32.71</v>
      </c>
    </row>
    <row r="81" ht="30" spans="1:4">
      <c r="A81" s="152" t="s">
        <v>53</v>
      </c>
      <c r="B81" s="213" t="s">
        <v>210</v>
      </c>
      <c r="C81" s="178">
        <f>C55</f>
        <v>0.398</v>
      </c>
      <c r="D81" s="174">
        <f>TRUNC(($D$80*C81),2)</f>
        <v>13.01</v>
      </c>
    </row>
    <row r="82" ht="30" spans="1:4">
      <c r="A82" s="152" t="s">
        <v>55</v>
      </c>
      <c r="B82" s="213" t="s">
        <v>115</v>
      </c>
      <c r="C82" s="178">
        <f>(0.08*0.4*0.98)</f>
        <v>0.03136</v>
      </c>
      <c r="D82" s="174">
        <f>TRUNC(($D$31*C82),2)</f>
        <v>53.84</v>
      </c>
    </row>
    <row r="83" spans="1:4">
      <c r="A83" s="152" t="s">
        <v>58</v>
      </c>
      <c r="C83" s="176">
        <f>SUM(C77:C82)</f>
        <v>0.530722222222222</v>
      </c>
      <c r="D83" s="160">
        <f>TRUNC((SUM(D77:D82)),2)</f>
        <v>103.73</v>
      </c>
    </row>
    <row r="84" ht="15.75" spans="1:4">
      <c r="A84" s="152"/>
      <c r="D84" s="160"/>
    </row>
    <row r="85" ht="16.5" spans="1:4">
      <c r="A85" s="161" t="s">
        <v>211</v>
      </c>
      <c r="B85" s="161"/>
      <c r="C85" s="166" t="s">
        <v>202</v>
      </c>
      <c r="D85" s="167">
        <f>D31</f>
        <v>1716.86</v>
      </c>
    </row>
    <row r="86" ht="16.5" spans="1:4">
      <c r="A86" s="161"/>
      <c r="B86" s="161"/>
      <c r="C86" s="168" t="s">
        <v>212</v>
      </c>
      <c r="D86" s="167">
        <f>D73</f>
        <v>1718.75</v>
      </c>
    </row>
    <row r="87" ht="16.5" spans="1:4">
      <c r="A87" s="161"/>
      <c r="B87" s="161"/>
      <c r="C87" s="166" t="s">
        <v>213</v>
      </c>
      <c r="D87" s="167">
        <f>D83</f>
        <v>103.73</v>
      </c>
    </row>
    <row r="88" ht="16.5" spans="1:4">
      <c r="A88" s="161"/>
      <c r="B88" s="161"/>
      <c r="C88" s="168" t="s">
        <v>204</v>
      </c>
      <c r="D88" s="169">
        <f>TRUNC((SUM(D85:D87)),2)</f>
        <v>3539.34</v>
      </c>
    </row>
    <row r="89" ht="15.75" spans="1:4">
      <c r="A89" s="152"/>
      <c r="D89" s="160"/>
    </row>
    <row r="90" spans="1:4">
      <c r="A90" s="179" t="s">
        <v>127</v>
      </c>
      <c r="B90" s="180"/>
      <c r="C90" s="180"/>
      <c r="D90" s="180"/>
    </row>
    <row r="91" spans="1:4">
      <c r="A91" s="163" t="s">
        <v>128</v>
      </c>
      <c r="B91" s="151"/>
      <c r="C91" s="151"/>
      <c r="D91" s="151"/>
    </row>
    <row r="92" spans="1:4">
      <c r="A92" s="152" t="s">
        <v>129</v>
      </c>
      <c r="B92" s="158" t="s">
        <v>130</v>
      </c>
      <c r="C92" s="153" t="s">
        <v>38</v>
      </c>
      <c r="D92" s="153" t="s">
        <v>19</v>
      </c>
    </row>
    <row r="93" spans="1:4">
      <c r="A93" s="152" t="s">
        <v>42</v>
      </c>
      <c r="B93" s="208" t="s">
        <v>132</v>
      </c>
      <c r="C93" s="214">
        <f>(((1+1/3)/12)/12)+((1/12)/12)</f>
        <v>0.0162037037037037</v>
      </c>
      <c r="D93" s="190">
        <f t="shared" ref="D93:D97" si="1">TRUNC(($D$88*C93),2)</f>
        <v>57.35</v>
      </c>
    </row>
    <row r="94" spans="1:4">
      <c r="A94" s="152" t="s">
        <v>45</v>
      </c>
      <c r="B94" s="208" t="s">
        <v>133</v>
      </c>
      <c r="C94" s="192">
        <f>((5/30)/12)</f>
        <v>0.0138888888888889</v>
      </c>
      <c r="D94" s="215">
        <f t="shared" si="1"/>
        <v>49.15</v>
      </c>
    </row>
    <row r="95" spans="1:4">
      <c r="A95" s="152" t="s">
        <v>48</v>
      </c>
      <c r="B95" s="208" t="s">
        <v>134</v>
      </c>
      <c r="C95" s="192">
        <f>((5/30)/12)*0.02</f>
        <v>0.000277777777777778</v>
      </c>
      <c r="D95" s="215">
        <f t="shared" si="1"/>
        <v>0.98</v>
      </c>
    </row>
    <row r="96" spans="1:4">
      <c r="A96" s="152" t="s">
        <v>50</v>
      </c>
      <c r="B96" s="213" t="s">
        <v>135</v>
      </c>
      <c r="C96" s="216">
        <f>((15/30)/12)*0.08</f>
        <v>0.00333333333333333</v>
      </c>
      <c r="D96" s="215">
        <f t="shared" si="1"/>
        <v>11.79</v>
      </c>
    </row>
    <row r="97" spans="1:4">
      <c r="A97" s="152" t="s">
        <v>53</v>
      </c>
      <c r="B97" s="208" t="s">
        <v>136</v>
      </c>
      <c r="C97" s="192">
        <f>((1+1/3)/12)*0.00001*((4/12))</f>
        <v>3.7037037037037e-7</v>
      </c>
      <c r="D97" s="215">
        <f t="shared" si="1"/>
        <v>0</v>
      </c>
    </row>
    <row r="98" spans="1:4">
      <c r="A98" s="152" t="s">
        <v>55</v>
      </c>
      <c r="B98" s="213" t="s">
        <v>214</v>
      </c>
      <c r="C98" s="217">
        <v>0</v>
      </c>
      <c r="D98" s="215">
        <f>TRUNC($D$88*C98)</f>
        <v>0</v>
      </c>
    </row>
    <row r="99" spans="1:4">
      <c r="A99" s="152" t="s">
        <v>58</v>
      </c>
      <c r="B99" s="208"/>
      <c r="C99" s="214">
        <f>SUBTOTAL(109,Submódulo4.159_54110[Percentual])</f>
        <v>0.0337040740740741</v>
      </c>
      <c r="D99" s="190">
        <f>TRUNC((SUM(D93:D98)),2)</f>
        <v>119.27</v>
      </c>
    </row>
    <row r="100" spans="1:4">
      <c r="A100" s="152"/>
      <c r="C100" s="153"/>
      <c r="D100" s="160"/>
    </row>
    <row r="101" spans="1:4">
      <c r="A101" s="163" t="s">
        <v>144</v>
      </c>
      <c r="B101" s="151"/>
      <c r="C101" s="151"/>
      <c r="D101" s="151"/>
    </row>
    <row r="102" spans="1:4">
      <c r="A102" s="152" t="s">
        <v>145</v>
      </c>
      <c r="B102" s="158" t="s">
        <v>146</v>
      </c>
      <c r="C102" s="153" t="s">
        <v>18</v>
      </c>
      <c r="D102" s="153" t="s">
        <v>19</v>
      </c>
    </row>
    <row r="103" ht="75" spans="1:4">
      <c r="A103" s="152" t="s">
        <v>42</v>
      </c>
      <c r="B103" s="182" t="s">
        <v>147</v>
      </c>
      <c r="C103" s="183" t="s">
        <v>215</v>
      </c>
      <c r="D103" s="184" t="s">
        <v>216</v>
      </c>
    </row>
    <row r="104" spans="1:4">
      <c r="A104" s="152" t="s">
        <v>58</v>
      </c>
      <c r="C104" s="185"/>
      <c r="D104" s="186" t="str">
        <f>D103</f>
        <v>*=TRUNCAR(($D$86/220)*(1*(365/12))/2)</v>
      </c>
    </row>
    <row r="106" spans="1:4">
      <c r="A106" s="163" t="s">
        <v>148</v>
      </c>
      <c r="B106" s="151"/>
      <c r="C106" s="151"/>
      <c r="D106" s="151"/>
    </row>
    <row r="107" spans="1:4">
      <c r="A107" s="152" t="s">
        <v>149</v>
      </c>
      <c r="B107" s="158" t="s">
        <v>150</v>
      </c>
      <c r="C107" s="153" t="s">
        <v>18</v>
      </c>
      <c r="D107" s="153" t="s">
        <v>19</v>
      </c>
    </row>
    <row r="108" spans="1:4">
      <c r="A108" s="152" t="s">
        <v>129</v>
      </c>
      <c r="B108" t="s">
        <v>130</v>
      </c>
      <c r="D108" s="155">
        <f>D99</f>
        <v>119.27</v>
      </c>
    </row>
    <row r="109" spans="1:4">
      <c r="A109" s="152" t="s">
        <v>145</v>
      </c>
      <c r="B109" t="s">
        <v>151</v>
      </c>
      <c r="C109" s="158"/>
      <c r="D109" s="187" t="str">
        <f>Submódulo4.260_55107[[#Totals],[Valor]]</f>
        <v>*=TRUNCAR(($D$86/220)*(1*(365/12))/2)</v>
      </c>
    </row>
    <row r="110" ht="45" spans="1:4">
      <c r="A110" s="152" t="s">
        <v>58</v>
      </c>
      <c r="B110" s="173"/>
      <c r="C110" s="183" t="s">
        <v>217</v>
      </c>
      <c r="D110" s="188">
        <f>TRUNC((SUM(D108:D109)),2)</f>
        <v>119.27</v>
      </c>
    </row>
    <row r="112" spans="1:4">
      <c r="A112" s="130" t="s">
        <v>152</v>
      </c>
      <c r="B112" s="131"/>
      <c r="C112" s="131"/>
      <c r="D112" s="131"/>
    </row>
    <row r="113" spans="1:4">
      <c r="A113" s="152" t="s">
        <v>153</v>
      </c>
      <c r="B113" s="173" t="s">
        <v>154</v>
      </c>
      <c r="C113" s="152" t="s">
        <v>18</v>
      </c>
      <c r="D113" s="152" t="s">
        <v>19</v>
      </c>
    </row>
    <row r="114" spans="1:4">
      <c r="A114" s="152" t="s">
        <v>42</v>
      </c>
      <c r="B114" t="s">
        <v>218</v>
      </c>
      <c r="D114" s="189">
        <f>'Uniformes e EPI'!G20</f>
        <v>112.8</v>
      </c>
    </row>
    <row r="115" spans="1:4">
      <c r="A115" s="152" t="s">
        <v>45</v>
      </c>
      <c r="B115" t="s">
        <v>219</v>
      </c>
      <c r="D115" s="189">
        <f>EPC!E21</f>
        <v>12.16</v>
      </c>
    </row>
    <row r="116" spans="1:4">
      <c r="A116" s="152" t="s">
        <v>48</v>
      </c>
      <c r="B116" t="s">
        <v>156</v>
      </c>
      <c r="D116" s="189">
        <f>'Equipamentos e Materiais'!E113</f>
        <v>161.05</v>
      </c>
    </row>
    <row r="117" spans="1:4">
      <c r="A117" s="152" t="s">
        <v>50</v>
      </c>
      <c r="B117" t="s">
        <v>157</v>
      </c>
      <c r="D117" s="189">
        <f>'Equipamentos e Materiais'!F144</f>
        <v>29.49</v>
      </c>
    </row>
    <row r="118" spans="1:4">
      <c r="A118" s="152" t="s">
        <v>53</v>
      </c>
      <c r="B118" t="s">
        <v>220</v>
      </c>
      <c r="C118" s="153"/>
      <c r="D118" s="218">
        <f>H117</f>
        <v>0</v>
      </c>
    </row>
    <row r="119" spans="1:4">
      <c r="A119" s="152" t="s">
        <v>58</v>
      </c>
      <c r="D119" s="190">
        <f>TRUNC(SUM(D114:D118),2)</f>
        <v>315.5</v>
      </c>
    </row>
    <row r="120" ht="15.75"/>
    <row r="121" ht="16.5" spans="1:4">
      <c r="A121" s="161" t="s">
        <v>221</v>
      </c>
      <c r="B121" s="161"/>
      <c r="C121" s="166" t="s">
        <v>202</v>
      </c>
      <c r="D121" s="167">
        <f>D31</f>
        <v>1716.86</v>
      </c>
    </row>
    <row r="122" ht="16.5" spans="1:4">
      <c r="A122" s="161"/>
      <c r="B122" s="161"/>
      <c r="C122" s="168" t="s">
        <v>212</v>
      </c>
      <c r="D122" s="167">
        <f>D73</f>
        <v>1718.75</v>
      </c>
    </row>
    <row r="123" ht="16.5" spans="1:4">
      <c r="A123" s="161"/>
      <c r="B123" s="161"/>
      <c r="C123" s="166" t="s">
        <v>213</v>
      </c>
      <c r="D123" s="167">
        <f>D83</f>
        <v>103.73</v>
      </c>
    </row>
    <row r="124" ht="16.5" spans="1:4">
      <c r="A124" s="161"/>
      <c r="B124" s="161"/>
      <c r="C124" s="168" t="s">
        <v>222</v>
      </c>
      <c r="D124" s="167">
        <f>D110</f>
        <v>119.27</v>
      </c>
    </row>
    <row r="125" ht="16.5" spans="1:4">
      <c r="A125" s="161"/>
      <c r="B125" s="161"/>
      <c r="C125" s="166" t="s">
        <v>223</v>
      </c>
      <c r="D125" s="167">
        <f>D119</f>
        <v>315.5</v>
      </c>
    </row>
    <row r="126" ht="16.5" spans="1:4">
      <c r="A126" s="161"/>
      <c r="B126" s="161"/>
      <c r="C126" s="168" t="s">
        <v>204</v>
      </c>
      <c r="D126" s="169">
        <f>TRUNC((SUM(D121:D125)),2)</f>
        <v>3974.11</v>
      </c>
    </row>
    <row r="127" ht="15.75"/>
    <row r="128" spans="1:4">
      <c r="A128" s="130" t="s">
        <v>164</v>
      </c>
      <c r="B128" s="131"/>
      <c r="C128" s="131"/>
      <c r="D128" s="131"/>
    </row>
    <row r="129" ht="15.75" spans="1:7">
      <c r="A129" s="152" t="s">
        <v>165</v>
      </c>
      <c r="B129" t="s">
        <v>166</v>
      </c>
      <c r="C129" s="153" t="s">
        <v>38</v>
      </c>
      <c r="D129" s="153" t="s">
        <v>19</v>
      </c>
      <c r="F129" s="191" t="s">
        <v>224</v>
      </c>
      <c r="G129" s="191"/>
    </row>
    <row r="130" ht="15.75" spans="1:7">
      <c r="A130" s="152" t="s">
        <v>42</v>
      </c>
      <c r="B130" t="s">
        <v>167</v>
      </c>
      <c r="C130" s="192">
        <v>0.05</v>
      </c>
      <c r="D130" s="155">
        <f>TRUNC(($D$126*C130),2)</f>
        <v>198.7</v>
      </c>
      <c r="F130" s="193" t="s">
        <v>225</v>
      </c>
      <c r="G130" s="178">
        <f>C132</f>
        <v>0.0865</v>
      </c>
    </row>
    <row r="131" ht="15.75" spans="1:7">
      <c r="A131" s="152" t="s">
        <v>45</v>
      </c>
      <c r="B131" t="s">
        <v>59</v>
      </c>
      <c r="C131" s="192">
        <v>0.0462</v>
      </c>
      <c r="D131" s="155">
        <f>TRUNC((C131*(D126+D130)),2)</f>
        <v>192.78</v>
      </c>
      <c r="F131" s="194" t="s">
        <v>226</v>
      </c>
      <c r="G131" s="195">
        <f>TRUNC(SUM(D126,D130,D131),2)</f>
        <v>4365.59</v>
      </c>
    </row>
    <row r="132" ht="15.75" spans="1:7">
      <c r="A132" s="152" t="s">
        <v>48</v>
      </c>
      <c r="B132" t="s">
        <v>168</v>
      </c>
      <c r="C132" s="171">
        <f>SUM(C133:C135)</f>
        <v>0.0865</v>
      </c>
      <c r="D132" s="155">
        <f>TRUNC((SUM(D133:D135)),2)</f>
        <v>413.36</v>
      </c>
      <c r="F132" s="193" t="s">
        <v>227</v>
      </c>
      <c r="G132" s="196">
        <f>(100-8.65)/100</f>
        <v>0.9135</v>
      </c>
    </row>
    <row r="133" ht="15.75" spans="1:7">
      <c r="A133" s="152"/>
      <c r="B133" t="s">
        <v>228</v>
      </c>
      <c r="C133" s="171">
        <v>0.0065</v>
      </c>
      <c r="D133" s="155">
        <f t="shared" ref="D133:D135" si="2">TRUNC(($G$133*C133),2)</f>
        <v>31.06</v>
      </c>
      <c r="F133" s="194" t="s">
        <v>224</v>
      </c>
      <c r="G133" s="195">
        <f>TRUNC((G131/G132),2)</f>
        <v>4778.97</v>
      </c>
    </row>
    <row r="134" ht="15.75" spans="1:4">
      <c r="A134" s="152"/>
      <c r="B134" t="s">
        <v>229</v>
      </c>
      <c r="C134" s="171">
        <v>0.03</v>
      </c>
      <c r="D134" s="155">
        <f t="shared" si="2"/>
        <v>143.36</v>
      </c>
    </row>
    <row r="135" spans="1:4">
      <c r="A135" s="152"/>
      <c r="B135" t="s">
        <v>230</v>
      </c>
      <c r="C135" s="171">
        <v>0.05</v>
      </c>
      <c r="D135" s="155">
        <f t="shared" si="2"/>
        <v>238.94</v>
      </c>
    </row>
    <row r="136" spans="1:4">
      <c r="A136" s="152" t="s">
        <v>58</v>
      </c>
      <c r="B136" s="208"/>
      <c r="C136" s="197"/>
      <c r="D136" s="160">
        <f>TRUNC(SUM(D130:D132),2)</f>
        <v>804.84</v>
      </c>
    </row>
    <row r="137" spans="1:4">
      <c r="A137" s="152"/>
      <c r="C137" s="197"/>
      <c r="D137" s="160"/>
    </row>
    <row r="139" spans="1:4">
      <c r="A139" s="130" t="s">
        <v>172</v>
      </c>
      <c r="B139" s="131"/>
      <c r="C139" s="131"/>
      <c r="D139" s="131"/>
    </row>
    <row r="140" spans="1:4">
      <c r="A140" s="152" t="s">
        <v>16</v>
      </c>
      <c r="B140" s="153" t="s">
        <v>173</v>
      </c>
      <c r="C140" s="153" t="s">
        <v>102</v>
      </c>
      <c r="D140" s="153" t="s">
        <v>19</v>
      </c>
    </row>
    <row r="141" spans="1:4">
      <c r="A141" s="152" t="s">
        <v>42</v>
      </c>
      <c r="B141" t="s">
        <v>36</v>
      </c>
      <c r="D141" s="160">
        <f>D31</f>
        <v>1716.86</v>
      </c>
    </row>
    <row r="142" spans="1:4">
      <c r="A142" s="152" t="s">
        <v>45</v>
      </c>
      <c r="B142" t="s">
        <v>61</v>
      </c>
      <c r="D142" s="160">
        <f>D73</f>
        <v>1718.75</v>
      </c>
    </row>
    <row r="143" spans="1:4">
      <c r="A143" s="152" t="s">
        <v>48</v>
      </c>
      <c r="B143" t="s">
        <v>108</v>
      </c>
      <c r="D143" s="160">
        <f>D83</f>
        <v>103.73</v>
      </c>
    </row>
    <row r="144" spans="1:4">
      <c r="A144" s="152" t="s">
        <v>50</v>
      </c>
      <c r="B144" t="s">
        <v>174</v>
      </c>
      <c r="D144" s="160">
        <f>D110</f>
        <v>119.27</v>
      </c>
    </row>
    <row r="145" spans="1:4">
      <c r="A145" s="152" t="s">
        <v>53</v>
      </c>
      <c r="B145" t="s">
        <v>152</v>
      </c>
      <c r="D145" s="160">
        <f>D119</f>
        <v>315.5</v>
      </c>
    </row>
    <row r="146" spans="2:4">
      <c r="B146" s="198" t="s">
        <v>231</v>
      </c>
      <c r="D146" s="160">
        <f>TRUNC(SUM(D141:D145),2)</f>
        <v>3974.11</v>
      </c>
    </row>
    <row r="147" spans="1:4">
      <c r="A147" s="152" t="s">
        <v>55</v>
      </c>
      <c r="B147" t="s">
        <v>164</v>
      </c>
      <c r="D147" s="160">
        <f>D136</f>
        <v>804.84</v>
      </c>
    </row>
    <row r="148" spans="1:4">
      <c r="A148" s="219"/>
      <c r="B148" s="200" t="s">
        <v>232</v>
      </c>
      <c r="C148" s="201"/>
      <c r="D148" s="202">
        <f>TRUNC((SUM(D141:D145)+D147),2)</f>
        <v>4778.95</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A128:D128"/>
    <mergeCell ref="F129:G129"/>
    <mergeCell ref="A139:D139"/>
    <mergeCell ref="A41:B43"/>
    <mergeCell ref="A85:B88"/>
    <mergeCell ref="A121:B126"/>
  </mergeCells>
  <pageMargins left="0.75" right="0.75" top="1" bottom="1" header="0.5" footer="0.5"/>
  <pageSetup paperSize="9" scale="90"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topLeftCell="A114" workbookViewId="0">
      <selection activeCell="G18" sqref="G18"/>
    </sheetView>
  </sheetViews>
  <sheetFormatPr defaultColWidth="9.14285714285714" defaultRowHeight="15" outlineLevelCol="6"/>
  <cols>
    <col min="1" max="1" width="12" style="209" customWidth="1"/>
    <col min="2" max="2" width="52.6952380952381" customWidth="1"/>
    <col min="3" max="3" width="36" customWidth="1"/>
    <col min="4" max="4" width="38.1428571428571" customWidth="1"/>
    <col min="6" max="6" width="22.8571428571429" customWidth="1"/>
    <col min="7" max="7" width="11.4285714285714" customWidth="1"/>
    <col min="9" max="9" width="11.4285714285714" customWidth="1"/>
  </cols>
  <sheetData>
    <row r="2" ht="19.5" spans="1:4">
      <c r="A2" s="121" t="s">
        <v>177</v>
      </c>
      <c r="B2" s="122"/>
      <c r="C2" s="122"/>
      <c r="D2" s="122"/>
    </row>
    <row r="3" ht="15.75" spans="1:4">
      <c r="A3" s="210" t="s">
        <v>178</v>
      </c>
      <c r="B3" s="211"/>
      <c r="C3" s="211"/>
      <c r="D3" s="211"/>
    </row>
    <row r="4" spans="1:4">
      <c r="A4" s="203" t="s">
        <v>179</v>
      </c>
      <c r="B4" s="126" t="s">
        <v>180</v>
      </c>
      <c r="C4" s="127"/>
      <c r="D4" s="127"/>
    </row>
    <row r="5" spans="1:4">
      <c r="A5" s="212"/>
      <c r="B5" s="129"/>
      <c r="C5" s="129"/>
      <c r="D5" s="129"/>
    </row>
    <row r="6" ht="15.75" spans="1:4">
      <c r="A6" s="130" t="s">
        <v>181</v>
      </c>
      <c r="B6" s="131"/>
      <c r="C6" s="131"/>
      <c r="D6" s="131"/>
    </row>
    <row r="7" ht="15.75" spans="1:4">
      <c r="A7" s="132" t="s">
        <v>42</v>
      </c>
      <c r="B7" s="133" t="s">
        <v>182</v>
      </c>
      <c r="C7" s="134" t="s">
        <v>183</v>
      </c>
      <c r="D7" s="134"/>
    </row>
    <row r="8" spans="1:4">
      <c r="A8" s="135" t="s">
        <v>45</v>
      </c>
      <c r="B8" s="136" t="s">
        <v>184</v>
      </c>
      <c r="C8" s="137" t="s">
        <v>185</v>
      </c>
      <c r="D8" s="137"/>
    </row>
    <row r="9" spans="1:4">
      <c r="A9" s="138" t="s">
        <v>48</v>
      </c>
      <c r="B9" s="139" t="s">
        <v>186</v>
      </c>
      <c r="C9" s="137" t="s">
        <v>233</v>
      </c>
      <c r="D9" s="137"/>
    </row>
    <row r="10" spans="1:4">
      <c r="A10" s="135" t="s">
        <v>53</v>
      </c>
      <c r="B10" s="136" t="s">
        <v>188</v>
      </c>
      <c r="C10" s="137" t="s">
        <v>189</v>
      </c>
      <c r="D10" s="137"/>
    </row>
    <row r="11" ht="15.75" spans="1:4">
      <c r="A11" s="140" t="s">
        <v>190</v>
      </c>
      <c r="B11" s="141"/>
      <c r="C11" s="141"/>
      <c r="D11" s="141"/>
    </row>
    <row r="12" ht="16.5" spans="1:4">
      <c r="A12" s="142" t="s">
        <v>191</v>
      </c>
      <c r="B12" s="143"/>
      <c r="C12" s="141" t="s">
        <v>192</v>
      </c>
      <c r="D12" s="144" t="s">
        <v>193</v>
      </c>
    </row>
    <row r="13" ht="15.75" spans="1:4">
      <c r="A13" s="145" t="s">
        <v>234</v>
      </c>
      <c r="B13" s="146"/>
      <c r="C13" s="137" t="s">
        <v>195</v>
      </c>
      <c r="D13" s="147">
        <f>RESUMO!D4</f>
        <v>2</v>
      </c>
    </row>
    <row r="14" spans="1:4">
      <c r="A14" s="148"/>
      <c r="B14" s="149"/>
      <c r="C14" s="137"/>
      <c r="D14" s="150"/>
    </row>
    <row r="15" ht="15.75" spans="1:7">
      <c r="A15" s="140" t="s">
        <v>14</v>
      </c>
      <c r="B15" s="141"/>
      <c r="C15" s="141"/>
      <c r="D15" s="141"/>
      <c r="F15" s="151"/>
      <c r="G15" s="151"/>
    </row>
    <row r="16" ht="15.75" spans="1:4">
      <c r="A16" s="152" t="s">
        <v>16</v>
      </c>
      <c r="B16" t="s">
        <v>17</v>
      </c>
      <c r="C16" s="153" t="s">
        <v>18</v>
      </c>
      <c r="D16" s="153" t="s">
        <v>19</v>
      </c>
    </row>
    <row r="17" spans="1:4">
      <c r="A17" s="152">
        <v>1</v>
      </c>
      <c r="B17" t="s">
        <v>20</v>
      </c>
      <c r="C17" s="154" t="s">
        <v>102</v>
      </c>
      <c r="D17" s="154" t="str">
        <f>A13</f>
        <v>Eletricista</v>
      </c>
    </row>
    <row r="18" spans="1:4">
      <c r="A18" s="152">
        <v>2</v>
      </c>
      <c r="B18" t="s">
        <v>23</v>
      </c>
      <c r="C18" s="154" t="s">
        <v>196</v>
      </c>
      <c r="D18" s="154" t="s">
        <v>235</v>
      </c>
    </row>
    <row r="19" spans="1:4">
      <c r="A19" s="152">
        <v>3</v>
      </c>
      <c r="B19" t="s">
        <v>26</v>
      </c>
      <c r="C19" s="154" t="str">
        <f>C9</f>
        <v>CCT PB00071/2023</v>
      </c>
      <c r="D19" s="155">
        <v>1716.86</v>
      </c>
    </row>
    <row r="20" spans="1:4">
      <c r="A20" s="152">
        <v>4</v>
      </c>
      <c r="B20" t="s">
        <v>29</v>
      </c>
      <c r="C20" s="154" t="str">
        <f>C9</f>
        <v>CCT PB00071/2023</v>
      </c>
      <c r="D20" s="156" t="s">
        <v>198</v>
      </c>
    </row>
    <row r="21" spans="1:4">
      <c r="A21" s="152">
        <v>5</v>
      </c>
      <c r="B21" t="s">
        <v>33</v>
      </c>
      <c r="C21" s="154" t="str">
        <f>C9</f>
        <v>CCT PB00071/2023</v>
      </c>
      <c r="D21" s="157" t="s">
        <v>199</v>
      </c>
    </row>
    <row r="22" spans="6:7">
      <c r="F22" s="151"/>
      <c r="G22" s="151"/>
    </row>
    <row r="23" spans="1:4">
      <c r="A23" s="130" t="s">
        <v>36</v>
      </c>
      <c r="B23" s="131"/>
      <c r="C23" s="131"/>
      <c r="D23" s="131"/>
    </row>
    <row r="24" spans="1:7">
      <c r="A24" s="152" t="s">
        <v>39</v>
      </c>
      <c r="B24" s="158" t="s">
        <v>40</v>
      </c>
      <c r="C24" s="153" t="s">
        <v>18</v>
      </c>
      <c r="D24" s="153" t="s">
        <v>19</v>
      </c>
      <c r="G24" s="159"/>
    </row>
    <row r="25" spans="1:7">
      <c r="A25" s="152" t="s">
        <v>42</v>
      </c>
      <c r="B25" t="s">
        <v>43</v>
      </c>
      <c r="C25" s="156" t="s">
        <v>200</v>
      </c>
      <c r="D25" s="155">
        <f>D19</f>
        <v>1716.86</v>
      </c>
      <c r="G25" s="159"/>
    </row>
    <row r="26" spans="1:7">
      <c r="A26" s="152" t="s">
        <v>45</v>
      </c>
      <c r="B26" t="s">
        <v>46</v>
      </c>
      <c r="C26" s="156" t="s">
        <v>236</v>
      </c>
      <c r="D26" s="172">
        <f>TRUNC((D25*30%),2)</f>
        <v>515.05</v>
      </c>
      <c r="G26" s="159"/>
    </row>
    <row r="27" spans="1:4">
      <c r="A27" s="152" t="s">
        <v>48</v>
      </c>
      <c r="B27" t="s">
        <v>49</v>
      </c>
      <c r="C27" s="156"/>
      <c r="D27" s="155">
        <v>0</v>
      </c>
    </row>
    <row r="28" spans="1:4">
      <c r="A28" s="152" t="s">
        <v>50</v>
      </c>
      <c r="B28" t="s">
        <v>51</v>
      </c>
      <c r="C28" s="156"/>
      <c r="D28" s="155">
        <v>0</v>
      </c>
    </row>
    <row r="29" spans="1:4">
      <c r="A29" s="152" t="s">
        <v>53</v>
      </c>
      <c r="B29" t="s">
        <v>54</v>
      </c>
      <c r="C29" s="156"/>
      <c r="D29" s="155">
        <v>0</v>
      </c>
    </row>
    <row r="30" spans="1:4">
      <c r="A30" s="152" t="s">
        <v>55</v>
      </c>
      <c r="B30" t="s">
        <v>56</v>
      </c>
      <c r="C30" s="156"/>
      <c r="D30" s="155">
        <v>0</v>
      </c>
    </row>
    <row r="31" spans="1:7">
      <c r="A31" s="152" t="s">
        <v>58</v>
      </c>
      <c r="C31" s="153"/>
      <c r="D31" s="160">
        <f>TRUNC(SUM(D25:D30),2)</f>
        <v>2231.91</v>
      </c>
      <c r="F31" s="151"/>
      <c r="G31" s="151"/>
    </row>
    <row r="33" spans="1:7">
      <c r="A33" s="161" t="s">
        <v>61</v>
      </c>
      <c r="B33" s="162"/>
      <c r="C33" s="162"/>
      <c r="D33" s="162"/>
      <c r="G33" s="159"/>
    </row>
    <row r="35" spans="1:4">
      <c r="A35" s="163" t="s">
        <v>63</v>
      </c>
      <c r="B35" s="151"/>
      <c r="C35" s="151"/>
      <c r="D35" s="151"/>
    </row>
    <row r="36" spans="1:4">
      <c r="A36" s="152" t="s">
        <v>65</v>
      </c>
      <c r="B36" s="158" t="s">
        <v>66</v>
      </c>
      <c r="C36" s="153" t="s">
        <v>38</v>
      </c>
      <c r="D36" s="153" t="s">
        <v>19</v>
      </c>
    </row>
    <row r="37" spans="1:7">
      <c r="A37" s="152" t="s">
        <v>42</v>
      </c>
      <c r="B37" t="s">
        <v>67</v>
      </c>
      <c r="C37" s="164">
        <f>(1/12)</f>
        <v>0.0833333333333333</v>
      </c>
      <c r="D37" s="160">
        <f>TRUNC($D$31*C37,2)</f>
        <v>185.99</v>
      </c>
      <c r="F37" s="165"/>
      <c r="G37" s="165"/>
    </row>
    <row r="38" spans="1:7">
      <c r="A38" s="152" t="s">
        <v>45</v>
      </c>
      <c r="B38" t="s">
        <v>68</v>
      </c>
      <c r="C38" s="164">
        <f>(((1+1/3)/12))</f>
        <v>0.111111111111111</v>
      </c>
      <c r="D38" s="160">
        <f>TRUNC($D$31*C38,2)</f>
        <v>247.99</v>
      </c>
      <c r="F38" s="165"/>
      <c r="G38" s="165"/>
    </row>
    <row r="39" spans="1:7">
      <c r="A39" s="152" t="s">
        <v>58</v>
      </c>
      <c r="D39" s="160">
        <f>TRUNC((SUM(D37:D38)),2)</f>
        <v>433.98</v>
      </c>
      <c r="F39" s="165"/>
      <c r="G39" s="165"/>
    </row>
    <row r="40" ht="15.75" spans="4:7">
      <c r="D40" s="160"/>
      <c r="F40" s="165"/>
      <c r="G40" s="165"/>
    </row>
    <row r="41" ht="16.5" spans="1:7">
      <c r="A41" s="161" t="s">
        <v>201</v>
      </c>
      <c r="B41" s="161"/>
      <c r="C41" s="166" t="s">
        <v>202</v>
      </c>
      <c r="D41" s="167">
        <f>D31</f>
        <v>2231.91</v>
      </c>
      <c r="F41" s="165"/>
      <c r="G41" s="165"/>
    </row>
    <row r="42" ht="16.5" spans="1:7">
      <c r="A42" s="161"/>
      <c r="B42" s="161"/>
      <c r="C42" s="168" t="s">
        <v>203</v>
      </c>
      <c r="D42" s="167">
        <f>D39</f>
        <v>433.98</v>
      </c>
      <c r="F42" s="165"/>
      <c r="G42" s="165"/>
    </row>
    <row r="43" ht="16.5" spans="1:7">
      <c r="A43" s="161"/>
      <c r="B43" s="161"/>
      <c r="C43" s="166" t="s">
        <v>204</v>
      </c>
      <c r="D43" s="169">
        <f>TRUNC((SUM(D41:D42)),2)</f>
        <v>2665.89</v>
      </c>
      <c r="F43" s="165"/>
      <c r="G43" s="165"/>
    </row>
    <row r="44" ht="15.75" spans="1:7">
      <c r="A44" s="152"/>
      <c r="C44" s="170"/>
      <c r="D44" s="160"/>
      <c r="F44" s="165"/>
      <c r="G44" s="165"/>
    </row>
    <row r="45" spans="1:4">
      <c r="A45" s="163" t="s">
        <v>77</v>
      </c>
      <c r="B45" s="151"/>
      <c r="C45" s="151"/>
      <c r="D45" s="151"/>
    </row>
    <row r="46" spans="1:4">
      <c r="A46" s="152" t="s">
        <v>78</v>
      </c>
      <c r="B46" s="158" t="s">
        <v>79</v>
      </c>
      <c r="C46" s="153" t="s">
        <v>38</v>
      </c>
      <c r="D46" s="153" t="s">
        <v>80</v>
      </c>
    </row>
    <row r="47" spans="1:4">
      <c r="A47" s="152" t="s">
        <v>42</v>
      </c>
      <c r="B47" t="s">
        <v>81</v>
      </c>
      <c r="C47" s="164">
        <v>0.2</v>
      </c>
      <c r="D47" s="160">
        <f t="shared" ref="D47:D54" si="0">TRUNC(($D$43*C47),2)</f>
        <v>533.17</v>
      </c>
    </row>
    <row r="48" spans="1:4">
      <c r="A48" s="152" t="s">
        <v>45</v>
      </c>
      <c r="B48" t="s">
        <v>82</v>
      </c>
      <c r="C48" s="164">
        <v>0.025</v>
      </c>
      <c r="D48" s="160">
        <f t="shared" si="0"/>
        <v>66.64</v>
      </c>
    </row>
    <row r="49" spans="1:4">
      <c r="A49" s="152" t="s">
        <v>48</v>
      </c>
      <c r="B49" t="s">
        <v>205</v>
      </c>
      <c r="C49" s="171">
        <v>0.06</v>
      </c>
      <c r="D49" s="155">
        <f t="shared" si="0"/>
        <v>159.95</v>
      </c>
    </row>
    <row r="50" spans="1:4">
      <c r="A50" s="152" t="s">
        <v>50</v>
      </c>
      <c r="B50" t="s">
        <v>84</v>
      </c>
      <c r="C50" s="164">
        <v>0.015</v>
      </c>
      <c r="D50" s="160">
        <f t="shared" si="0"/>
        <v>39.98</v>
      </c>
    </row>
    <row r="51" spans="1:4">
      <c r="A51" s="152" t="s">
        <v>53</v>
      </c>
      <c r="B51" t="s">
        <v>85</v>
      </c>
      <c r="C51" s="164">
        <v>0.01</v>
      </c>
      <c r="D51" s="160">
        <f t="shared" si="0"/>
        <v>26.65</v>
      </c>
    </row>
    <row r="52" spans="1:4">
      <c r="A52" s="152" t="s">
        <v>55</v>
      </c>
      <c r="B52" t="s">
        <v>86</v>
      </c>
      <c r="C52" s="164">
        <v>0.006</v>
      </c>
      <c r="D52" s="160">
        <f t="shared" si="0"/>
        <v>15.99</v>
      </c>
    </row>
    <row r="53" spans="1:4">
      <c r="A53" s="152" t="s">
        <v>87</v>
      </c>
      <c r="B53" t="s">
        <v>88</v>
      </c>
      <c r="C53" s="164">
        <v>0.002</v>
      </c>
      <c r="D53" s="160">
        <f t="shared" si="0"/>
        <v>5.33</v>
      </c>
    </row>
    <row r="54" spans="1:4">
      <c r="A54" s="152" t="s">
        <v>89</v>
      </c>
      <c r="B54" t="s">
        <v>90</v>
      </c>
      <c r="C54" s="164">
        <v>0.08</v>
      </c>
      <c r="D54" s="160">
        <f t="shared" si="0"/>
        <v>213.27</v>
      </c>
    </row>
    <row r="55" spans="1:4">
      <c r="A55" s="152" t="s">
        <v>58</v>
      </c>
      <c r="C55" s="170">
        <f>SUM(C47:C54)</f>
        <v>0.398</v>
      </c>
      <c r="D55" s="160">
        <f>TRUNC((SUM(D47:D54)),2)</f>
        <v>1060.98</v>
      </c>
    </row>
    <row r="56" spans="1:4">
      <c r="A56" s="152"/>
      <c r="C56" s="170"/>
      <c r="D56" s="160"/>
    </row>
    <row r="57" spans="1:4">
      <c r="A57" s="163" t="s">
        <v>95</v>
      </c>
      <c r="B57" s="151"/>
      <c r="C57" s="151"/>
      <c r="D57" s="151"/>
    </row>
    <row r="58" spans="1:4">
      <c r="A58" s="152" t="s">
        <v>96</v>
      </c>
      <c r="B58" s="158" t="s">
        <v>97</v>
      </c>
      <c r="C58" s="153" t="s">
        <v>18</v>
      </c>
      <c r="D58" s="153" t="s">
        <v>19</v>
      </c>
    </row>
    <row r="59" spans="1:4">
      <c r="A59" s="152" t="s">
        <v>42</v>
      </c>
      <c r="B59" t="s">
        <v>98</v>
      </c>
      <c r="C59" s="154"/>
      <c r="D59" s="172">
        <f>TRUNC(((22*4.7)*2)-((D25/100)*6),2)</f>
        <v>103.78</v>
      </c>
    </row>
    <row r="60" spans="1:4">
      <c r="A60" s="152" t="s">
        <v>45</v>
      </c>
      <c r="B60" t="s">
        <v>99</v>
      </c>
      <c r="C60" s="154" t="str">
        <f>C9</f>
        <v>CCT PB00071/2023</v>
      </c>
      <c r="D60" s="155">
        <f>TRUNC((((500))-(((500))*0.2)),2)</f>
        <v>400</v>
      </c>
    </row>
    <row r="61" spans="1:4">
      <c r="A61" s="152" t="s">
        <v>48</v>
      </c>
      <c r="B61" t="s">
        <v>100</v>
      </c>
      <c r="C61" s="154"/>
      <c r="D61" s="155">
        <v>0</v>
      </c>
    </row>
    <row r="62" spans="1:6">
      <c r="A62" s="152" t="s">
        <v>50</v>
      </c>
      <c r="B62" s="173" t="s">
        <v>206</v>
      </c>
      <c r="C62" s="174"/>
      <c r="D62" s="174">
        <v>0</v>
      </c>
      <c r="F62" s="173"/>
    </row>
    <row r="63" spans="1:4">
      <c r="A63" s="152" t="s">
        <v>53</v>
      </c>
      <c r="B63" s="158" t="s">
        <v>207</v>
      </c>
      <c r="C63" s="154" t="str">
        <f>C60</f>
        <v>CCT PB00071/2023</v>
      </c>
      <c r="D63" s="155">
        <v>20</v>
      </c>
    </row>
    <row r="64" spans="1:4">
      <c r="A64" s="152" t="s">
        <v>55</v>
      </c>
      <c r="B64" s="175" t="s">
        <v>208</v>
      </c>
      <c r="C64" s="154" t="str">
        <f>C9</f>
        <v>CCT PB00071/2023</v>
      </c>
      <c r="D64" s="155">
        <v>5</v>
      </c>
    </row>
    <row r="65" spans="1:4">
      <c r="A65" s="152" t="s">
        <v>87</v>
      </c>
      <c r="B65" s="175" t="s">
        <v>209</v>
      </c>
      <c r="C65" s="174" t="str">
        <f>C60</f>
        <v>CCT PB00071/2023</v>
      </c>
      <c r="D65" s="155">
        <v>40</v>
      </c>
    </row>
    <row r="66" spans="1:4">
      <c r="A66" s="152" t="s">
        <v>58</v>
      </c>
      <c r="D66" s="160">
        <f>TRUNC((SUM(D59:D65)),2)</f>
        <v>568.78</v>
      </c>
    </row>
    <row r="67" spans="1:4">
      <c r="A67" s="152"/>
      <c r="D67" s="160"/>
    </row>
    <row r="68" spans="1:4">
      <c r="A68" s="163" t="s">
        <v>105</v>
      </c>
      <c r="B68" s="151"/>
      <c r="C68" s="151"/>
      <c r="D68" s="151"/>
    </row>
    <row r="69" spans="1:4">
      <c r="A69" s="152" t="s">
        <v>106</v>
      </c>
      <c r="B69" s="158" t="s">
        <v>107</v>
      </c>
      <c r="C69" s="153" t="s">
        <v>18</v>
      </c>
      <c r="D69" s="153" t="s">
        <v>19</v>
      </c>
    </row>
    <row r="70" spans="1:4">
      <c r="A70" s="152" t="s">
        <v>65</v>
      </c>
      <c r="B70" t="s">
        <v>66</v>
      </c>
      <c r="C70" s="153"/>
      <c r="D70" s="160">
        <f>D39</f>
        <v>433.98</v>
      </c>
    </row>
    <row r="71" spans="1:4">
      <c r="A71" s="152" t="s">
        <v>78</v>
      </c>
      <c r="B71" t="s">
        <v>79</v>
      </c>
      <c r="C71" s="153"/>
      <c r="D71" s="160">
        <f>D55</f>
        <v>1060.98</v>
      </c>
    </row>
    <row r="72" spans="1:4">
      <c r="A72" s="152" t="s">
        <v>96</v>
      </c>
      <c r="B72" t="s">
        <v>97</v>
      </c>
      <c r="C72" s="153"/>
      <c r="D72" s="160">
        <f>D66</f>
        <v>568.78</v>
      </c>
    </row>
    <row r="73" spans="1:4">
      <c r="A73" s="152" t="s">
        <v>58</v>
      </c>
      <c r="C73" s="153"/>
      <c r="D73" s="160">
        <f>TRUNC((SUM(D70:D72)),2)</f>
        <v>2063.74</v>
      </c>
    </row>
    <row r="75" spans="1:4">
      <c r="A75" s="130" t="s">
        <v>108</v>
      </c>
      <c r="B75" s="131"/>
      <c r="C75" s="131"/>
      <c r="D75" s="131"/>
    </row>
    <row r="76" spans="1:4">
      <c r="A76" s="152" t="s">
        <v>109</v>
      </c>
      <c r="B76" s="158" t="s">
        <v>110</v>
      </c>
      <c r="C76" s="153" t="s">
        <v>38</v>
      </c>
      <c r="D76" s="153" t="s">
        <v>19</v>
      </c>
    </row>
    <row r="77" spans="1:4">
      <c r="A77" s="152" t="s">
        <v>42</v>
      </c>
      <c r="B77" t="s">
        <v>111</v>
      </c>
      <c r="C77" s="171">
        <f>((1/12)*2%)</f>
        <v>0.00166666666666667</v>
      </c>
      <c r="D77" s="222">
        <f>TRUNC(($D$31*C77),2)</f>
        <v>3.71</v>
      </c>
    </row>
    <row r="78" spans="1:4">
      <c r="A78" s="152" t="s">
        <v>45</v>
      </c>
      <c r="B78" t="s">
        <v>112</v>
      </c>
      <c r="C78" s="176">
        <v>0.08</v>
      </c>
      <c r="D78" s="221">
        <f>TRUNC(($D$77*C78),2)</f>
        <v>0.29</v>
      </c>
    </row>
    <row r="79" ht="30" spans="1:4">
      <c r="A79" s="152" t="s">
        <v>48</v>
      </c>
      <c r="B79" s="177" t="s">
        <v>113</v>
      </c>
      <c r="C79" s="178">
        <f>(0.08*0.4*0.02)</f>
        <v>0.00064</v>
      </c>
      <c r="D79" s="221">
        <f>TRUNC(($D$31*C79),2)</f>
        <v>1.42</v>
      </c>
    </row>
    <row r="80" spans="1:4">
      <c r="A80" s="152" t="s">
        <v>50</v>
      </c>
      <c r="B80" t="s">
        <v>114</v>
      </c>
      <c r="C80" s="176">
        <f>(((7/30)/12)*0.98)</f>
        <v>0.0190555555555556</v>
      </c>
      <c r="D80" s="221">
        <f>TRUNC(($D$31*C80),2)</f>
        <v>42.53</v>
      </c>
    </row>
    <row r="81" ht="30" spans="1:4">
      <c r="A81" s="152" t="s">
        <v>53</v>
      </c>
      <c r="B81" s="177" t="s">
        <v>210</v>
      </c>
      <c r="C81" s="178">
        <f>C55</f>
        <v>0.398</v>
      </c>
      <c r="D81" s="222">
        <f>TRUNC(($D$80*C81),2)</f>
        <v>16.92</v>
      </c>
    </row>
    <row r="82" ht="30" spans="1:4">
      <c r="A82" s="152" t="s">
        <v>55</v>
      </c>
      <c r="B82" s="177" t="s">
        <v>115</v>
      </c>
      <c r="C82" s="178">
        <f>(0.08*0.4*0.98)</f>
        <v>0.03136</v>
      </c>
      <c r="D82" s="222">
        <f>TRUNC(($D$31*C82),2)</f>
        <v>69.99</v>
      </c>
    </row>
    <row r="83" spans="1:4">
      <c r="A83" s="152" t="s">
        <v>58</v>
      </c>
      <c r="C83" s="176">
        <f>SUM(C77:C82)</f>
        <v>0.530722222222222</v>
      </c>
      <c r="D83" s="160">
        <f>TRUNC((SUM(D77:D82)),2)</f>
        <v>134.86</v>
      </c>
    </row>
    <row r="84" ht="15.75" spans="1:4">
      <c r="A84" s="152"/>
      <c r="D84" s="160"/>
    </row>
    <row r="85" ht="16.5" spans="1:4">
      <c r="A85" s="161" t="s">
        <v>211</v>
      </c>
      <c r="B85" s="161"/>
      <c r="C85" s="166" t="s">
        <v>202</v>
      </c>
      <c r="D85" s="167">
        <f>D31</f>
        <v>2231.91</v>
      </c>
    </row>
    <row r="86" ht="16.5" spans="1:4">
      <c r="A86" s="161"/>
      <c r="B86" s="161"/>
      <c r="C86" s="168" t="s">
        <v>212</v>
      </c>
      <c r="D86" s="167">
        <f>D73</f>
        <v>2063.74</v>
      </c>
    </row>
    <row r="87" ht="16.5" spans="1:4">
      <c r="A87" s="161"/>
      <c r="B87" s="161"/>
      <c r="C87" s="166" t="s">
        <v>213</v>
      </c>
      <c r="D87" s="167">
        <f>D83</f>
        <v>134.86</v>
      </c>
    </row>
    <row r="88" ht="16.5" spans="1:4">
      <c r="A88" s="161"/>
      <c r="B88" s="161"/>
      <c r="C88" s="168" t="s">
        <v>204</v>
      </c>
      <c r="D88" s="169">
        <f>TRUNC((SUM(D85:D87)),2)</f>
        <v>4430.51</v>
      </c>
    </row>
    <row r="89" ht="15.75" spans="1:4">
      <c r="A89" s="152"/>
      <c r="D89" s="160"/>
    </row>
    <row r="90" spans="1:4">
      <c r="A90" s="179" t="s">
        <v>127</v>
      </c>
      <c r="B90" s="180"/>
      <c r="C90" s="180"/>
      <c r="D90" s="180"/>
    </row>
    <row r="91" spans="1:4">
      <c r="A91" s="163" t="s">
        <v>128</v>
      </c>
      <c r="B91" s="151"/>
      <c r="C91" s="151"/>
      <c r="D91" s="151"/>
    </row>
    <row r="92" spans="1:4">
      <c r="A92" s="152" t="s">
        <v>129</v>
      </c>
      <c r="B92" s="158" t="s">
        <v>130</v>
      </c>
      <c r="C92" s="153" t="s">
        <v>38</v>
      </c>
      <c r="D92" s="153" t="s">
        <v>19</v>
      </c>
    </row>
    <row r="93" spans="1:4">
      <c r="A93" s="152" t="s">
        <v>42</v>
      </c>
      <c r="B93" t="s">
        <v>132</v>
      </c>
      <c r="C93" s="176">
        <f>(((1+1/3)/12)/12)+((1/12)/12)</f>
        <v>0.0162037037037037</v>
      </c>
      <c r="D93" s="160">
        <f t="shared" ref="D93:D97" si="1">TRUNC(($D$88*C93),2)</f>
        <v>71.79</v>
      </c>
    </row>
    <row r="94" spans="1:4">
      <c r="A94" s="152" t="s">
        <v>45</v>
      </c>
      <c r="B94" t="s">
        <v>133</v>
      </c>
      <c r="C94" s="171">
        <f>((5/30)/12)</f>
        <v>0.0138888888888889</v>
      </c>
      <c r="D94" s="174">
        <f t="shared" si="1"/>
        <v>61.53</v>
      </c>
    </row>
    <row r="95" spans="1:4">
      <c r="A95" s="152" t="s">
        <v>48</v>
      </c>
      <c r="B95" t="s">
        <v>134</v>
      </c>
      <c r="C95" s="171">
        <f>((5/30)/12)*0.02</f>
        <v>0.000277777777777778</v>
      </c>
      <c r="D95" s="174">
        <f t="shared" si="1"/>
        <v>1.23</v>
      </c>
    </row>
    <row r="96" ht="30" spans="1:4">
      <c r="A96" s="152" t="s">
        <v>50</v>
      </c>
      <c r="B96" s="177" t="s">
        <v>135</v>
      </c>
      <c r="C96" s="178">
        <f>((15/30)/12)*0.08</f>
        <v>0.00333333333333333</v>
      </c>
      <c r="D96" s="174">
        <f t="shared" si="1"/>
        <v>14.76</v>
      </c>
    </row>
    <row r="97" spans="1:4">
      <c r="A97" s="152" t="s">
        <v>53</v>
      </c>
      <c r="B97" t="s">
        <v>136</v>
      </c>
      <c r="C97" s="171">
        <f>((1+1/3)/12)*0.00001*((4/12))</f>
        <v>3.7037037037037e-7</v>
      </c>
      <c r="D97" s="174">
        <f t="shared" si="1"/>
        <v>0</v>
      </c>
    </row>
    <row r="98" spans="1:4">
      <c r="A98" s="152" t="s">
        <v>55</v>
      </c>
      <c r="B98" s="177" t="s">
        <v>214</v>
      </c>
      <c r="C98" s="181">
        <v>0</v>
      </c>
      <c r="D98" s="174">
        <f>TRUNC($D$88*C98)</f>
        <v>0</v>
      </c>
    </row>
    <row r="99" spans="1:4">
      <c r="A99" s="152" t="s">
        <v>58</v>
      </c>
      <c r="C99" s="176">
        <f>SUBTOTAL(109,Submódulo4.159_41[Percentual])</f>
        <v>0.0337040740740741</v>
      </c>
      <c r="D99" s="160">
        <f>TRUNC((SUM(D93:D98)),2)</f>
        <v>149.31</v>
      </c>
    </row>
    <row r="100" spans="1:4">
      <c r="A100" s="152"/>
      <c r="C100" s="153"/>
      <c r="D100" s="160"/>
    </row>
    <row r="101" spans="1:4">
      <c r="A101" s="163" t="s">
        <v>144</v>
      </c>
      <c r="B101" s="151"/>
      <c r="C101" s="151"/>
      <c r="D101" s="151"/>
    </row>
    <row r="102" spans="1:4">
      <c r="A102" s="152" t="s">
        <v>145</v>
      </c>
      <c r="B102" s="158" t="s">
        <v>146</v>
      </c>
      <c r="C102" s="153" t="s">
        <v>18</v>
      </c>
      <c r="D102" s="153" t="s">
        <v>19</v>
      </c>
    </row>
    <row r="103" ht="75" spans="1:4">
      <c r="A103" s="152" t="s">
        <v>42</v>
      </c>
      <c r="B103" s="182" t="s">
        <v>147</v>
      </c>
      <c r="C103" s="183" t="s">
        <v>215</v>
      </c>
      <c r="D103" s="223" t="s">
        <v>216</v>
      </c>
    </row>
    <row r="104" spans="1:4">
      <c r="A104" s="152" t="s">
        <v>58</v>
      </c>
      <c r="C104" s="185"/>
      <c r="D104" s="224" t="str">
        <f>D103</f>
        <v>*=TRUNCAR(($D$86/220)*(1*(365/12))/2)</v>
      </c>
    </row>
    <row r="106" spans="1:4">
      <c r="A106" s="163" t="s">
        <v>148</v>
      </c>
      <c r="B106" s="151"/>
      <c r="C106" s="151"/>
      <c r="D106" s="151"/>
    </row>
    <row r="107" spans="1:4">
      <c r="A107" s="152" t="s">
        <v>149</v>
      </c>
      <c r="B107" s="158" t="s">
        <v>150</v>
      </c>
      <c r="C107" s="153" t="s">
        <v>18</v>
      </c>
      <c r="D107" s="153" t="s">
        <v>19</v>
      </c>
    </row>
    <row r="108" spans="1:4">
      <c r="A108" s="152" t="s">
        <v>129</v>
      </c>
      <c r="B108" t="s">
        <v>130</v>
      </c>
      <c r="D108" s="155">
        <f>D99</f>
        <v>149.31</v>
      </c>
    </row>
    <row r="109" spans="1:4">
      <c r="A109" s="152" t="s">
        <v>145</v>
      </c>
      <c r="B109" t="s">
        <v>151</v>
      </c>
      <c r="C109" s="158"/>
      <c r="D109" s="187" t="str">
        <f>Submódulo4.260_42[[#Totals],[Valor]]</f>
        <v>*=TRUNCAR(($D$86/220)*(1*(365/12))/2)</v>
      </c>
    </row>
    <row r="110" ht="45" spans="1:4">
      <c r="A110" s="152" t="s">
        <v>58</v>
      </c>
      <c r="B110" s="173"/>
      <c r="C110" s="183" t="s">
        <v>217</v>
      </c>
      <c r="D110" s="188">
        <f>TRUNC((SUM(D108:D109)),2)</f>
        <v>149.31</v>
      </c>
    </row>
    <row r="112" spans="1:4">
      <c r="A112" s="130" t="s">
        <v>152</v>
      </c>
      <c r="B112" s="131"/>
      <c r="C112" s="131"/>
      <c r="D112" s="131"/>
    </row>
    <row r="113" spans="1:4">
      <c r="A113" s="152" t="s">
        <v>153</v>
      </c>
      <c r="B113" s="158" t="s">
        <v>154</v>
      </c>
      <c r="C113" s="153" t="s">
        <v>18</v>
      </c>
      <c r="D113" s="153" t="s">
        <v>19</v>
      </c>
    </row>
    <row r="114" spans="1:4">
      <c r="A114" s="152" t="s">
        <v>42</v>
      </c>
      <c r="B114" t="s">
        <v>218</v>
      </c>
      <c r="D114" s="189">
        <f>'Uniformes e EPI'!G42</f>
        <v>125.07</v>
      </c>
    </row>
    <row r="115" spans="1:4">
      <c r="A115" s="152" t="s">
        <v>45</v>
      </c>
      <c r="B115" t="s">
        <v>219</v>
      </c>
      <c r="D115" s="189">
        <f>EPC!E21</f>
        <v>12.16</v>
      </c>
    </row>
    <row r="116" spans="1:4">
      <c r="A116" s="152" t="s">
        <v>48</v>
      </c>
      <c r="B116" t="s">
        <v>156</v>
      </c>
      <c r="D116" s="189">
        <f>'Equipamentos e Materiais'!E113</f>
        <v>161.05</v>
      </c>
    </row>
    <row r="117" spans="1:4">
      <c r="A117" s="152" t="s">
        <v>50</v>
      </c>
      <c r="B117" t="s">
        <v>157</v>
      </c>
      <c r="D117" s="189">
        <f>'Equipamentos e Materiais'!F144</f>
        <v>29.49</v>
      </c>
    </row>
    <row r="118" spans="1:4">
      <c r="A118" s="152" t="s">
        <v>53</v>
      </c>
      <c r="B118" t="s">
        <v>220</v>
      </c>
      <c r="D118" s="189">
        <f>H117</f>
        <v>0</v>
      </c>
    </row>
    <row r="119" spans="1:4">
      <c r="A119" s="152" t="s">
        <v>58</v>
      </c>
      <c r="D119" s="190">
        <f>TRUNC(SUM(D114:D118),2)</f>
        <v>327.77</v>
      </c>
    </row>
    <row r="120" ht="15.75"/>
    <row r="121" ht="16.5" spans="1:4">
      <c r="A121" s="161" t="s">
        <v>221</v>
      </c>
      <c r="B121" s="161"/>
      <c r="C121" s="166" t="s">
        <v>202</v>
      </c>
      <c r="D121" s="167">
        <f>D31</f>
        <v>2231.91</v>
      </c>
    </row>
    <row r="122" ht="16.5" spans="1:4">
      <c r="A122" s="161"/>
      <c r="B122" s="161"/>
      <c r="C122" s="168" t="s">
        <v>212</v>
      </c>
      <c r="D122" s="167">
        <f>D73</f>
        <v>2063.74</v>
      </c>
    </row>
    <row r="123" ht="16.5" spans="1:4">
      <c r="A123" s="161"/>
      <c r="B123" s="161"/>
      <c r="C123" s="166" t="s">
        <v>213</v>
      </c>
      <c r="D123" s="167">
        <f>D83</f>
        <v>134.86</v>
      </c>
    </row>
    <row r="124" ht="16.5" spans="1:4">
      <c r="A124" s="161"/>
      <c r="B124" s="161"/>
      <c r="C124" s="168" t="s">
        <v>222</v>
      </c>
      <c r="D124" s="167">
        <f>D110</f>
        <v>149.31</v>
      </c>
    </row>
    <row r="125" ht="16.5" spans="1:4">
      <c r="A125" s="161"/>
      <c r="B125" s="161"/>
      <c r="C125" s="166" t="s">
        <v>223</v>
      </c>
      <c r="D125" s="167">
        <f>D119</f>
        <v>327.77</v>
      </c>
    </row>
    <row r="126" ht="16.5" spans="1:4">
      <c r="A126" s="161"/>
      <c r="B126" s="161"/>
      <c r="C126" s="168" t="s">
        <v>204</v>
      </c>
      <c r="D126" s="169">
        <f>TRUNC((SUM(D121:D125)),2)</f>
        <v>4907.59</v>
      </c>
    </row>
    <row r="127" ht="15.75"/>
    <row r="128" spans="1:4">
      <c r="A128" s="130" t="s">
        <v>164</v>
      </c>
      <c r="B128" s="131"/>
      <c r="C128" s="131"/>
      <c r="D128" s="131"/>
    </row>
    <row r="129" ht="15.75" spans="1:7">
      <c r="A129" s="152" t="s">
        <v>165</v>
      </c>
      <c r="B129" t="s">
        <v>166</v>
      </c>
      <c r="C129" s="153" t="s">
        <v>38</v>
      </c>
      <c r="D129" s="153" t="s">
        <v>19</v>
      </c>
      <c r="F129" s="191" t="s">
        <v>224</v>
      </c>
      <c r="G129" s="191"/>
    </row>
    <row r="130" ht="15.75" spans="1:7">
      <c r="A130" s="152" t="s">
        <v>42</v>
      </c>
      <c r="B130" t="s">
        <v>167</v>
      </c>
      <c r="C130" s="192">
        <v>0.05</v>
      </c>
      <c r="D130" s="155">
        <f>TRUNC(($D$126*C130),2)</f>
        <v>245.37</v>
      </c>
      <c r="F130" s="193" t="s">
        <v>225</v>
      </c>
      <c r="G130" s="178">
        <f>C132</f>
        <v>0.0865</v>
      </c>
    </row>
    <row r="131" ht="15.75" spans="1:7">
      <c r="A131" s="152" t="s">
        <v>45</v>
      </c>
      <c r="B131" t="s">
        <v>59</v>
      </c>
      <c r="C131" s="192">
        <v>0.0462</v>
      </c>
      <c r="D131" s="155">
        <f>TRUNC((C131*(D126+D130)),2)</f>
        <v>238.06</v>
      </c>
      <c r="F131" s="194" t="s">
        <v>226</v>
      </c>
      <c r="G131" s="225">
        <f>TRUNC(SUM(D126,D130,D131),2)</f>
        <v>5391.02</v>
      </c>
    </row>
    <row r="132" ht="15.75" spans="1:7">
      <c r="A132" s="152" t="s">
        <v>48</v>
      </c>
      <c r="B132" t="s">
        <v>168</v>
      </c>
      <c r="C132" s="171">
        <f>SUM(C133:C135)</f>
        <v>0.0865</v>
      </c>
      <c r="D132" s="155">
        <f>TRUNC((SUM(D133:D135)),2)</f>
        <v>510.46</v>
      </c>
      <c r="F132" s="193" t="s">
        <v>227</v>
      </c>
      <c r="G132" s="196">
        <f>(100-8.65)/100</f>
        <v>0.9135</v>
      </c>
    </row>
    <row r="133" ht="15.75" spans="1:7">
      <c r="A133" s="152"/>
      <c r="B133" t="s">
        <v>228</v>
      </c>
      <c r="C133" s="171">
        <v>0.0065</v>
      </c>
      <c r="D133" s="155">
        <f t="shared" ref="D133:D135" si="2">TRUNC(($G$133*C133),2)</f>
        <v>38.35</v>
      </c>
      <c r="F133" s="194" t="s">
        <v>224</v>
      </c>
      <c r="G133" s="225">
        <f>TRUNC((G131/G132),2)</f>
        <v>5901.49</v>
      </c>
    </row>
    <row r="134" ht="15.75" spans="1:4">
      <c r="A134" s="152"/>
      <c r="B134" t="s">
        <v>229</v>
      </c>
      <c r="C134" s="171">
        <v>0.03</v>
      </c>
      <c r="D134" s="155">
        <f t="shared" si="2"/>
        <v>177.04</v>
      </c>
    </row>
    <row r="135" spans="1:4">
      <c r="A135" s="152"/>
      <c r="B135" t="s">
        <v>230</v>
      </c>
      <c r="C135" s="171">
        <v>0.05</v>
      </c>
      <c r="D135" s="155">
        <f t="shared" si="2"/>
        <v>295.07</v>
      </c>
    </row>
    <row r="136" spans="1:4">
      <c r="A136" s="152" t="s">
        <v>58</v>
      </c>
      <c r="C136" s="197"/>
      <c r="D136" s="160">
        <f>TRUNC(SUM(D130:D132),2)</f>
        <v>993.89</v>
      </c>
    </row>
    <row r="137" spans="1:4">
      <c r="A137" s="152"/>
      <c r="C137" s="197"/>
      <c r="D137" s="160"/>
    </row>
    <row r="139" spans="1:4">
      <c r="A139" s="130" t="s">
        <v>172</v>
      </c>
      <c r="B139" s="131"/>
      <c r="C139" s="131"/>
      <c r="D139" s="131"/>
    </row>
    <row r="140" spans="1:4">
      <c r="A140" s="152" t="s">
        <v>16</v>
      </c>
      <c r="B140" s="153" t="s">
        <v>173</v>
      </c>
      <c r="C140" s="153" t="s">
        <v>102</v>
      </c>
      <c r="D140" s="153" t="s">
        <v>19</v>
      </c>
    </row>
    <row r="141" spans="1:4">
      <c r="A141" s="152" t="s">
        <v>42</v>
      </c>
      <c r="B141" t="s">
        <v>36</v>
      </c>
      <c r="D141" s="160">
        <f>D31</f>
        <v>2231.91</v>
      </c>
    </row>
    <row r="142" spans="1:4">
      <c r="A142" s="152" t="s">
        <v>45</v>
      </c>
      <c r="B142" t="s">
        <v>61</v>
      </c>
      <c r="D142" s="160">
        <f>D73</f>
        <v>2063.74</v>
      </c>
    </row>
    <row r="143" spans="1:4">
      <c r="A143" s="152" t="s">
        <v>48</v>
      </c>
      <c r="B143" t="s">
        <v>108</v>
      </c>
      <c r="D143" s="160">
        <f>D83</f>
        <v>134.86</v>
      </c>
    </row>
    <row r="144" spans="1:4">
      <c r="A144" s="152" t="s">
        <v>50</v>
      </c>
      <c r="B144" t="s">
        <v>174</v>
      </c>
      <c r="D144" s="160">
        <f>D110</f>
        <v>149.31</v>
      </c>
    </row>
    <row r="145" spans="1:4">
      <c r="A145" s="152" t="s">
        <v>53</v>
      </c>
      <c r="B145" t="s">
        <v>152</v>
      </c>
      <c r="D145" s="160">
        <f>D119</f>
        <v>327.77</v>
      </c>
    </row>
    <row r="146" spans="2:4">
      <c r="B146" s="198" t="s">
        <v>231</v>
      </c>
      <c r="D146" s="160">
        <f>TRUNC(SUM(D141:D145),2)</f>
        <v>4907.59</v>
      </c>
    </row>
    <row r="147" spans="1:4">
      <c r="A147" s="152" t="s">
        <v>55</v>
      </c>
      <c r="B147" t="s">
        <v>164</v>
      </c>
      <c r="D147" s="160">
        <f>D136</f>
        <v>993.89</v>
      </c>
    </row>
    <row r="148" spans="1:4">
      <c r="A148" s="219"/>
      <c r="B148" s="200" t="s">
        <v>232</v>
      </c>
      <c r="C148" s="201"/>
      <c r="D148" s="202">
        <f>TRUNC((SUM(D141:D145)+D147),2)</f>
        <v>5901.48</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A128:D128"/>
    <mergeCell ref="F129:G129"/>
    <mergeCell ref="A139:D139"/>
    <mergeCell ref="A41:B43"/>
    <mergeCell ref="A85:B88"/>
    <mergeCell ref="A121:B126"/>
  </mergeCells>
  <pageMargins left="0.75" right="0.75" top="1" bottom="1" header="0.5" footer="0.5"/>
  <pageSetup paperSize="9" scale="90"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topLeftCell="A120" workbookViewId="0">
      <selection activeCell="F16" sqref="F16"/>
    </sheetView>
  </sheetViews>
  <sheetFormatPr defaultColWidth="9.14285714285714" defaultRowHeight="15" outlineLevelCol="6"/>
  <cols>
    <col min="1" max="1" width="12.4285714285714" style="106" customWidth="1"/>
    <col min="2" max="2" width="53" customWidth="1"/>
    <col min="3" max="3" width="30.8571428571429" customWidth="1"/>
    <col min="4" max="4" width="37.4285714285714" customWidth="1"/>
    <col min="6" max="6" width="22.8571428571429" customWidth="1"/>
    <col min="7" max="7" width="13.4285714285714" customWidth="1"/>
    <col min="8" max="8" width="11" customWidth="1"/>
    <col min="9" max="9" width="11.4285714285714" customWidth="1"/>
  </cols>
  <sheetData>
    <row r="2" ht="19.5" spans="1:4">
      <c r="A2" s="121" t="s">
        <v>177</v>
      </c>
      <c r="B2" s="122"/>
      <c r="C2" s="122"/>
      <c r="D2" s="122"/>
    </row>
    <row r="3" ht="15.75" spans="1:4">
      <c r="A3" s="123" t="s">
        <v>178</v>
      </c>
      <c r="B3" s="124"/>
      <c r="C3" s="124"/>
      <c r="D3" s="124"/>
    </row>
    <row r="4" spans="1:4">
      <c r="A4" s="220" t="s">
        <v>179</v>
      </c>
      <c r="B4" s="126" t="s">
        <v>180</v>
      </c>
      <c r="C4" s="127"/>
      <c r="D4" s="127"/>
    </row>
    <row r="5" spans="1:4">
      <c r="A5" s="128"/>
      <c r="B5" s="129"/>
      <c r="C5" s="129"/>
      <c r="D5" s="129"/>
    </row>
    <row r="6" ht="15.75" spans="1:4">
      <c r="A6" s="130" t="s">
        <v>181</v>
      </c>
      <c r="B6" s="131"/>
      <c r="C6" s="131"/>
      <c r="D6" s="131"/>
    </row>
    <row r="7" ht="15.75" spans="1:4">
      <c r="A7" s="132" t="s">
        <v>42</v>
      </c>
      <c r="B7" s="133" t="s">
        <v>182</v>
      </c>
      <c r="C7" s="134" t="s">
        <v>183</v>
      </c>
      <c r="D7" s="134"/>
    </row>
    <row r="8" spans="1:4">
      <c r="A8" s="135" t="s">
        <v>45</v>
      </c>
      <c r="B8" s="136" t="s">
        <v>184</v>
      </c>
      <c r="C8" s="137" t="s">
        <v>185</v>
      </c>
      <c r="D8" s="137"/>
    </row>
    <row r="9" spans="1:4">
      <c r="A9" s="138" t="s">
        <v>48</v>
      </c>
      <c r="B9" s="139" t="s">
        <v>186</v>
      </c>
      <c r="C9" s="137" t="s">
        <v>187</v>
      </c>
      <c r="D9" s="137"/>
    </row>
    <row r="10" spans="1:4">
      <c r="A10" s="135" t="s">
        <v>53</v>
      </c>
      <c r="B10" s="136" t="s">
        <v>188</v>
      </c>
      <c r="C10" s="137" t="s">
        <v>189</v>
      </c>
      <c r="D10" s="137"/>
    </row>
    <row r="11" ht="15.75" spans="1:4">
      <c r="A11" s="140" t="s">
        <v>190</v>
      </c>
      <c r="B11" s="141"/>
      <c r="C11" s="141"/>
      <c r="D11" s="141"/>
    </row>
    <row r="12" ht="16.5" spans="1:4">
      <c r="A12" s="142" t="s">
        <v>191</v>
      </c>
      <c r="B12" s="143"/>
      <c r="C12" s="141" t="s">
        <v>192</v>
      </c>
      <c r="D12" s="144" t="s">
        <v>193</v>
      </c>
    </row>
    <row r="13" ht="15.75" spans="1:4">
      <c r="A13" s="145" t="s">
        <v>237</v>
      </c>
      <c r="B13" s="146"/>
      <c r="C13" s="137" t="s">
        <v>195</v>
      </c>
      <c r="D13" s="147">
        <f>RESUMO!D5</f>
        <v>1</v>
      </c>
    </row>
    <row r="14" spans="1:4">
      <c r="A14" s="148"/>
      <c r="B14" s="149"/>
      <c r="C14" s="137"/>
      <c r="D14" s="150"/>
    </row>
    <row r="15" ht="15.75" spans="1:7">
      <c r="A15" s="140" t="s">
        <v>14</v>
      </c>
      <c r="B15" s="141"/>
      <c r="C15" s="141"/>
      <c r="D15" s="141"/>
      <c r="F15" s="151"/>
      <c r="G15" s="151"/>
    </row>
    <row r="16" ht="15.75" spans="1:4">
      <c r="A16" s="152" t="s">
        <v>16</v>
      </c>
      <c r="B16" t="s">
        <v>17</v>
      </c>
      <c r="C16" s="153" t="s">
        <v>18</v>
      </c>
      <c r="D16" s="153" t="s">
        <v>19</v>
      </c>
    </row>
    <row r="17" spans="1:4">
      <c r="A17" s="152">
        <v>1</v>
      </c>
      <c r="B17" t="s">
        <v>20</v>
      </c>
      <c r="C17" s="154" t="s">
        <v>102</v>
      </c>
      <c r="D17" s="154" t="str">
        <f>A13</f>
        <v>Pintor</v>
      </c>
    </row>
    <row r="18" spans="1:4">
      <c r="A18" s="152">
        <v>2</v>
      </c>
      <c r="B18" t="s">
        <v>23</v>
      </c>
      <c r="C18" s="154" t="s">
        <v>196</v>
      </c>
      <c r="D18" s="154" t="s">
        <v>238</v>
      </c>
    </row>
    <row r="19" spans="1:4">
      <c r="A19" s="152">
        <v>3</v>
      </c>
      <c r="B19" t="s">
        <v>26</v>
      </c>
      <c r="C19" s="154" t="str">
        <f>C9</f>
        <v>CCT PB000071/2023</v>
      </c>
      <c r="D19" s="155">
        <v>1716.86</v>
      </c>
    </row>
    <row r="20" spans="1:4">
      <c r="A20" s="152">
        <v>4</v>
      </c>
      <c r="B20" t="s">
        <v>29</v>
      </c>
      <c r="C20" s="154" t="str">
        <f>C9</f>
        <v>CCT PB000071/2023</v>
      </c>
      <c r="D20" s="156" t="s">
        <v>198</v>
      </c>
    </row>
    <row r="21" spans="1:4">
      <c r="A21" s="152">
        <v>5</v>
      </c>
      <c r="B21" t="s">
        <v>33</v>
      </c>
      <c r="C21" s="154" t="str">
        <f>C9</f>
        <v>CCT PB000071/2023</v>
      </c>
      <c r="D21" s="157" t="s">
        <v>199</v>
      </c>
    </row>
    <row r="22" spans="6:7">
      <c r="F22" s="151"/>
      <c r="G22" s="151"/>
    </row>
    <row r="23" spans="1:4">
      <c r="A23" s="130" t="s">
        <v>36</v>
      </c>
      <c r="B23" s="131"/>
      <c r="C23" s="131"/>
      <c r="D23" s="131"/>
    </row>
    <row r="24" spans="1:7">
      <c r="A24" s="152" t="s">
        <v>39</v>
      </c>
      <c r="B24" s="158" t="s">
        <v>40</v>
      </c>
      <c r="C24" s="153" t="s">
        <v>18</v>
      </c>
      <c r="D24" s="153" t="s">
        <v>19</v>
      </c>
      <c r="G24" s="159"/>
    </row>
    <row r="25" spans="1:7">
      <c r="A25" s="152" t="s">
        <v>42</v>
      </c>
      <c r="B25" t="s">
        <v>43</v>
      </c>
      <c r="C25" s="156" t="s">
        <v>200</v>
      </c>
      <c r="D25" s="155">
        <f>D19</f>
        <v>1716.86</v>
      </c>
      <c r="G25" s="159"/>
    </row>
    <row r="26" spans="1:7">
      <c r="A26" s="152" t="s">
        <v>45</v>
      </c>
      <c r="B26" t="s">
        <v>46</v>
      </c>
      <c r="C26" s="156"/>
      <c r="D26" s="155">
        <v>0</v>
      </c>
      <c r="G26" s="159"/>
    </row>
    <row r="27" spans="1:4">
      <c r="A27" s="152" t="s">
        <v>48</v>
      </c>
      <c r="B27" t="s">
        <v>49</v>
      </c>
      <c r="C27" s="156"/>
      <c r="D27" s="155">
        <v>0</v>
      </c>
    </row>
    <row r="28" spans="1:4">
      <c r="A28" s="152" t="s">
        <v>50</v>
      </c>
      <c r="B28" t="s">
        <v>51</v>
      </c>
      <c r="C28" s="156"/>
      <c r="D28" s="155">
        <v>0</v>
      </c>
    </row>
    <row r="29" spans="1:4">
      <c r="A29" s="152" t="s">
        <v>53</v>
      </c>
      <c r="B29" t="s">
        <v>54</v>
      </c>
      <c r="C29" s="156"/>
      <c r="D29" s="155">
        <v>0</v>
      </c>
    </row>
    <row r="30" spans="1:4">
      <c r="A30" s="152" t="s">
        <v>55</v>
      </c>
      <c r="B30" t="s">
        <v>56</v>
      </c>
      <c r="C30" s="156"/>
      <c r="D30" s="155">
        <v>0</v>
      </c>
    </row>
    <row r="31" spans="1:7">
      <c r="A31" s="152" t="s">
        <v>58</v>
      </c>
      <c r="C31" s="153"/>
      <c r="D31" s="160">
        <f>TRUNC((SUM(D25:D30)),2)</f>
        <v>1716.86</v>
      </c>
      <c r="F31" s="151"/>
      <c r="G31" s="151"/>
    </row>
    <row r="33" spans="1:7">
      <c r="A33" s="161" t="s">
        <v>61</v>
      </c>
      <c r="B33" s="162"/>
      <c r="C33" s="162"/>
      <c r="D33" s="162"/>
      <c r="G33" s="159"/>
    </row>
    <row r="35" spans="1:4">
      <c r="A35" s="163" t="s">
        <v>63</v>
      </c>
      <c r="B35" s="151"/>
      <c r="C35" s="151"/>
      <c r="D35" s="151"/>
    </row>
    <row r="36" spans="1:4">
      <c r="A36" s="152" t="s">
        <v>65</v>
      </c>
      <c r="B36" s="158" t="s">
        <v>66</v>
      </c>
      <c r="C36" s="153" t="s">
        <v>38</v>
      </c>
      <c r="D36" s="153" t="s">
        <v>19</v>
      </c>
    </row>
    <row r="37" spans="1:7">
      <c r="A37" s="152" t="s">
        <v>42</v>
      </c>
      <c r="B37" t="s">
        <v>67</v>
      </c>
      <c r="C37" s="164">
        <f>(1/12)</f>
        <v>0.0833333333333333</v>
      </c>
      <c r="D37" s="160">
        <f>TRUNC($D$31*C37,2)</f>
        <v>143.07</v>
      </c>
      <c r="F37" s="165"/>
      <c r="G37" s="165"/>
    </row>
    <row r="38" spans="1:7">
      <c r="A38" s="152" t="s">
        <v>45</v>
      </c>
      <c r="B38" t="s">
        <v>68</v>
      </c>
      <c r="C38" s="164">
        <f>(((1+1/3)/12))</f>
        <v>0.111111111111111</v>
      </c>
      <c r="D38" s="160">
        <f>TRUNC($D$31*C38,2)</f>
        <v>190.76</v>
      </c>
      <c r="F38" s="165"/>
      <c r="G38" s="165"/>
    </row>
    <row r="39" spans="1:7">
      <c r="A39" s="152" t="s">
        <v>58</v>
      </c>
      <c r="D39" s="160">
        <f>TRUNC((SUM(D37:D38)),2)</f>
        <v>333.83</v>
      </c>
      <c r="F39" s="165"/>
      <c r="G39" s="165"/>
    </row>
    <row r="40" ht="15.75" spans="4:7">
      <c r="D40" s="160"/>
      <c r="F40" s="165"/>
      <c r="G40" s="165"/>
    </row>
    <row r="41" ht="16.5" spans="1:7">
      <c r="A41" s="161" t="s">
        <v>201</v>
      </c>
      <c r="B41" s="161"/>
      <c r="C41" s="166" t="s">
        <v>202</v>
      </c>
      <c r="D41" s="167">
        <f>D31</f>
        <v>1716.86</v>
      </c>
      <c r="F41" s="165"/>
      <c r="G41" s="165"/>
    </row>
    <row r="42" ht="16.5" spans="1:7">
      <c r="A42" s="161"/>
      <c r="B42" s="161"/>
      <c r="C42" s="168" t="s">
        <v>203</v>
      </c>
      <c r="D42" s="167">
        <f>D39</f>
        <v>333.83</v>
      </c>
      <c r="F42" s="165"/>
      <c r="G42" s="165"/>
    </row>
    <row r="43" ht="16.5" spans="1:7">
      <c r="A43" s="161"/>
      <c r="B43" s="161"/>
      <c r="C43" s="166" t="s">
        <v>204</v>
      </c>
      <c r="D43" s="169">
        <f>TRUNC(SUM(D41:D42),2)</f>
        <v>2050.69</v>
      </c>
      <c r="F43" s="165"/>
      <c r="G43" s="165"/>
    </row>
    <row r="44" ht="15.75" spans="1:7">
      <c r="A44" s="152"/>
      <c r="C44" s="170"/>
      <c r="D44" s="160"/>
      <c r="F44" s="165"/>
      <c r="G44" s="165"/>
    </row>
    <row r="45" spans="1:4">
      <c r="A45" s="163" t="s">
        <v>77</v>
      </c>
      <c r="B45" s="151"/>
      <c r="C45" s="151"/>
      <c r="D45" s="151"/>
    </row>
    <row r="46" spans="1:4">
      <c r="A46" s="152" t="s">
        <v>78</v>
      </c>
      <c r="B46" s="158" t="s">
        <v>79</v>
      </c>
      <c r="C46" s="153" t="s">
        <v>38</v>
      </c>
      <c r="D46" s="153" t="s">
        <v>80</v>
      </c>
    </row>
    <row r="47" spans="1:4">
      <c r="A47" s="152" t="s">
        <v>42</v>
      </c>
      <c r="B47" t="s">
        <v>81</v>
      </c>
      <c r="C47" s="164">
        <v>0.2</v>
      </c>
      <c r="D47" s="221">
        <f t="shared" ref="D47:D54" si="0">TRUNC(($D$43*C47),2)</f>
        <v>410.13</v>
      </c>
    </row>
    <row r="48" spans="1:4">
      <c r="A48" s="152" t="s">
        <v>45</v>
      </c>
      <c r="B48" t="s">
        <v>82</v>
      </c>
      <c r="C48" s="164">
        <v>0.025</v>
      </c>
      <c r="D48" s="221">
        <f t="shared" si="0"/>
        <v>51.26</v>
      </c>
    </row>
    <row r="49" spans="1:4">
      <c r="A49" s="152" t="s">
        <v>48</v>
      </c>
      <c r="B49" t="s">
        <v>205</v>
      </c>
      <c r="C49" s="171">
        <v>0.06</v>
      </c>
      <c r="D49" s="221">
        <f t="shared" si="0"/>
        <v>123.04</v>
      </c>
    </row>
    <row r="50" spans="1:4">
      <c r="A50" s="152" t="s">
        <v>50</v>
      </c>
      <c r="B50" t="s">
        <v>84</v>
      </c>
      <c r="C50" s="164">
        <v>0.015</v>
      </c>
      <c r="D50" s="221">
        <f t="shared" si="0"/>
        <v>30.76</v>
      </c>
    </row>
    <row r="51" spans="1:4">
      <c r="A51" s="152" t="s">
        <v>53</v>
      </c>
      <c r="B51" t="s">
        <v>85</v>
      </c>
      <c r="C51" s="164">
        <v>0.01</v>
      </c>
      <c r="D51" s="221">
        <f t="shared" si="0"/>
        <v>20.5</v>
      </c>
    </row>
    <row r="52" spans="1:4">
      <c r="A52" s="152" t="s">
        <v>55</v>
      </c>
      <c r="B52" t="s">
        <v>86</v>
      </c>
      <c r="C52" s="164">
        <v>0.006</v>
      </c>
      <c r="D52" s="221">
        <f t="shared" si="0"/>
        <v>12.3</v>
      </c>
    </row>
    <row r="53" spans="1:4">
      <c r="A53" s="152" t="s">
        <v>87</v>
      </c>
      <c r="B53" t="s">
        <v>88</v>
      </c>
      <c r="C53" s="164">
        <v>0.002</v>
      </c>
      <c r="D53" s="221">
        <f t="shared" si="0"/>
        <v>4.1</v>
      </c>
    </row>
    <row r="54" spans="1:4">
      <c r="A54" s="152" t="s">
        <v>89</v>
      </c>
      <c r="B54" t="s">
        <v>90</v>
      </c>
      <c r="C54" s="164">
        <v>0.08</v>
      </c>
      <c r="D54" s="221">
        <f t="shared" si="0"/>
        <v>164.05</v>
      </c>
    </row>
    <row r="55" spans="1:4">
      <c r="A55" s="152" t="s">
        <v>58</v>
      </c>
      <c r="C55" s="170">
        <f>SUM(C47:C54)</f>
        <v>0.398</v>
      </c>
      <c r="D55" s="160">
        <f>TRUNC((SUM(D47:D54)),2)</f>
        <v>816.14</v>
      </c>
    </row>
    <row r="56" spans="1:4">
      <c r="A56" s="152"/>
      <c r="C56" s="170"/>
      <c r="D56" s="160"/>
    </row>
    <row r="57" spans="1:4">
      <c r="A57" s="163" t="s">
        <v>95</v>
      </c>
      <c r="B57" s="151"/>
      <c r="C57" s="151"/>
      <c r="D57" s="151"/>
    </row>
    <row r="58" spans="1:4">
      <c r="A58" s="152" t="s">
        <v>96</v>
      </c>
      <c r="B58" s="158" t="s">
        <v>97</v>
      </c>
      <c r="C58" s="153" t="s">
        <v>18</v>
      </c>
      <c r="D58" s="153" t="s">
        <v>19</v>
      </c>
    </row>
    <row r="59" spans="1:4">
      <c r="A59" s="152" t="s">
        <v>42</v>
      </c>
      <c r="B59" t="s">
        <v>98</v>
      </c>
      <c r="C59" s="154"/>
      <c r="D59" s="172">
        <f>TRUNC(((22*4.7)*2)-((D25/100)*6),2)</f>
        <v>103.78</v>
      </c>
    </row>
    <row r="60" spans="1:4">
      <c r="A60" s="152" t="s">
        <v>45</v>
      </c>
      <c r="B60" t="s">
        <v>99</v>
      </c>
      <c r="C60" s="154" t="str">
        <f>C9</f>
        <v>CCT PB000071/2023</v>
      </c>
      <c r="D60" s="155">
        <f>TRUNC((((500))-(((500))*0.2)),2)</f>
        <v>400</v>
      </c>
    </row>
    <row r="61" spans="1:4">
      <c r="A61" s="152" t="s">
        <v>48</v>
      </c>
      <c r="B61" t="s">
        <v>100</v>
      </c>
      <c r="C61" s="154"/>
      <c r="D61" s="155">
        <v>0</v>
      </c>
    </row>
    <row r="62" spans="1:6">
      <c r="A62" s="152" t="s">
        <v>50</v>
      </c>
      <c r="B62" s="173" t="s">
        <v>206</v>
      </c>
      <c r="C62" s="174"/>
      <c r="D62" s="174">
        <v>0</v>
      </c>
      <c r="F62" s="173"/>
    </row>
    <row r="63" spans="1:4">
      <c r="A63" s="152" t="s">
        <v>53</v>
      </c>
      <c r="B63" s="158" t="s">
        <v>207</v>
      </c>
      <c r="C63" s="154" t="str">
        <f>C60</f>
        <v>CCT PB000071/2023</v>
      </c>
      <c r="D63" s="155">
        <v>20</v>
      </c>
    </row>
    <row r="64" spans="1:4">
      <c r="A64" s="152" t="s">
        <v>55</v>
      </c>
      <c r="B64" s="175" t="s">
        <v>208</v>
      </c>
      <c r="C64" s="154" t="str">
        <f>C9</f>
        <v>CCT PB000071/2023</v>
      </c>
      <c r="D64" s="155">
        <v>5</v>
      </c>
    </row>
    <row r="65" spans="1:4">
      <c r="A65" s="152" t="s">
        <v>87</v>
      </c>
      <c r="B65" s="175" t="s">
        <v>209</v>
      </c>
      <c r="C65" s="174" t="str">
        <f>C60</f>
        <v>CCT PB000071/2023</v>
      </c>
      <c r="D65" s="155">
        <v>40</v>
      </c>
    </row>
    <row r="66" spans="1:4">
      <c r="A66" s="152" t="s">
        <v>58</v>
      </c>
      <c r="D66" s="160">
        <f>TRUNC((SUM(D59:D65)),2)</f>
        <v>568.78</v>
      </c>
    </row>
    <row r="67" spans="1:4">
      <c r="A67" s="152"/>
      <c r="D67" s="160"/>
    </row>
    <row r="68" spans="1:4">
      <c r="A68" s="163" t="s">
        <v>105</v>
      </c>
      <c r="B68" s="151"/>
      <c r="C68" s="151"/>
      <c r="D68" s="151"/>
    </row>
    <row r="69" spans="1:4">
      <c r="A69" s="152" t="s">
        <v>106</v>
      </c>
      <c r="B69" s="158" t="s">
        <v>107</v>
      </c>
      <c r="C69" s="153" t="s">
        <v>18</v>
      </c>
      <c r="D69" s="153" t="s">
        <v>19</v>
      </c>
    </row>
    <row r="70" spans="1:4">
      <c r="A70" s="152" t="s">
        <v>65</v>
      </c>
      <c r="B70" t="s">
        <v>66</v>
      </c>
      <c r="C70" s="153"/>
      <c r="D70" s="160">
        <f>D39</f>
        <v>333.83</v>
      </c>
    </row>
    <row r="71" spans="1:4">
      <c r="A71" s="152" t="s">
        <v>78</v>
      </c>
      <c r="B71" t="s">
        <v>79</v>
      </c>
      <c r="C71" s="153"/>
      <c r="D71" s="160">
        <f>D55</f>
        <v>816.14</v>
      </c>
    </row>
    <row r="72" spans="1:4">
      <c r="A72" s="152" t="s">
        <v>96</v>
      </c>
      <c r="B72" t="s">
        <v>97</v>
      </c>
      <c r="C72" s="153"/>
      <c r="D72" s="160">
        <f>D66</f>
        <v>568.78</v>
      </c>
    </row>
    <row r="73" spans="1:4">
      <c r="A73" s="152" t="s">
        <v>58</v>
      </c>
      <c r="C73" s="153"/>
      <c r="D73" s="160">
        <f>TRUNC((SUM(D70:D72)),2)</f>
        <v>1718.75</v>
      </c>
    </row>
    <row r="75" spans="1:4">
      <c r="A75" s="130" t="s">
        <v>108</v>
      </c>
      <c r="B75" s="131"/>
      <c r="C75" s="131"/>
      <c r="D75" s="131"/>
    </row>
    <row r="76" spans="1:4">
      <c r="A76" s="152" t="s">
        <v>109</v>
      </c>
      <c r="B76" s="158" t="s">
        <v>110</v>
      </c>
      <c r="C76" s="153" t="s">
        <v>38</v>
      </c>
      <c r="D76" s="153" t="s">
        <v>19</v>
      </c>
    </row>
    <row r="77" spans="1:4">
      <c r="A77" s="152" t="s">
        <v>42</v>
      </c>
      <c r="B77" t="s">
        <v>111</v>
      </c>
      <c r="C77" s="171">
        <f>((1/12)*2%)</f>
        <v>0.00166666666666667</v>
      </c>
      <c r="D77" s="155">
        <f>TRUNC(($D$31*C77),2)</f>
        <v>2.86</v>
      </c>
    </row>
    <row r="78" spans="1:4">
      <c r="A78" s="152" t="s">
        <v>45</v>
      </c>
      <c r="B78" t="s">
        <v>112</v>
      </c>
      <c r="C78" s="176">
        <v>0.08</v>
      </c>
      <c r="D78" s="160">
        <f>TRUNC(($D$77*C78),2)</f>
        <v>0.22</v>
      </c>
    </row>
    <row r="79" ht="30" spans="1:4">
      <c r="A79" s="152" t="s">
        <v>48</v>
      </c>
      <c r="B79" s="177" t="s">
        <v>113</v>
      </c>
      <c r="C79" s="178">
        <f>(0.08*0.4*0.02)</f>
        <v>0.00064</v>
      </c>
      <c r="D79" s="174">
        <f t="shared" ref="D77:D80" si="1">TRUNC(($D$31*C79),2)</f>
        <v>1.09</v>
      </c>
    </row>
    <row r="80" spans="1:4">
      <c r="A80" s="152" t="s">
        <v>50</v>
      </c>
      <c r="B80" t="s">
        <v>114</v>
      </c>
      <c r="C80" s="176">
        <f>(((7/30)/12)*0.98)</f>
        <v>0.0190555555555556</v>
      </c>
      <c r="D80" s="160">
        <f t="shared" si="1"/>
        <v>32.71</v>
      </c>
    </row>
    <row r="81" ht="30" spans="1:4">
      <c r="A81" s="152" t="s">
        <v>53</v>
      </c>
      <c r="B81" s="177" t="s">
        <v>210</v>
      </c>
      <c r="C81" s="178">
        <f>C55</f>
        <v>0.398</v>
      </c>
      <c r="D81" s="174">
        <f>TRUNC(($D$80*C81),2)</f>
        <v>13.01</v>
      </c>
    </row>
    <row r="82" ht="30" spans="1:4">
      <c r="A82" s="152" t="s">
        <v>55</v>
      </c>
      <c r="B82" s="177" t="s">
        <v>115</v>
      </c>
      <c r="C82" s="178">
        <f>(0.08*0.4*0.98)</f>
        <v>0.03136</v>
      </c>
      <c r="D82" s="174">
        <f>TRUNC(($D$31*C82),2)</f>
        <v>53.84</v>
      </c>
    </row>
    <row r="83" spans="1:4">
      <c r="A83" s="152" t="s">
        <v>58</v>
      </c>
      <c r="C83" s="176">
        <f>SUM(C77:C82)</f>
        <v>0.530722222222222</v>
      </c>
      <c r="D83" s="160">
        <f>TRUNC((SUM(D77:D82)),2)</f>
        <v>103.73</v>
      </c>
    </row>
    <row r="84" ht="15.75" spans="1:4">
      <c r="A84" s="152"/>
      <c r="D84" s="160"/>
    </row>
    <row r="85" ht="16.5" spans="1:4">
      <c r="A85" s="161" t="s">
        <v>211</v>
      </c>
      <c r="B85" s="161"/>
      <c r="C85" s="166" t="s">
        <v>202</v>
      </c>
      <c r="D85" s="167">
        <f>D31</f>
        <v>1716.86</v>
      </c>
    </row>
    <row r="86" ht="16.5" spans="1:4">
      <c r="A86" s="161"/>
      <c r="B86" s="161"/>
      <c r="C86" s="168" t="s">
        <v>212</v>
      </c>
      <c r="D86" s="167">
        <f>D73</f>
        <v>1718.75</v>
      </c>
    </row>
    <row r="87" ht="16.5" spans="1:4">
      <c r="A87" s="161"/>
      <c r="B87" s="161"/>
      <c r="C87" s="166" t="s">
        <v>213</v>
      </c>
      <c r="D87" s="167">
        <f>D83</f>
        <v>103.73</v>
      </c>
    </row>
    <row r="88" ht="16.5" spans="1:4">
      <c r="A88" s="161"/>
      <c r="B88" s="161"/>
      <c r="C88" s="168" t="s">
        <v>204</v>
      </c>
      <c r="D88" s="169">
        <f>TRUNC((SUM(D85:D87)),2)</f>
        <v>3539.34</v>
      </c>
    </row>
    <row r="89" ht="15.75" spans="1:4">
      <c r="A89" s="152"/>
      <c r="D89" s="160"/>
    </row>
    <row r="90" spans="1:4">
      <c r="A90" s="179" t="s">
        <v>127</v>
      </c>
      <c r="B90" s="180"/>
      <c r="C90" s="180"/>
      <c r="D90" s="180"/>
    </row>
    <row r="91" spans="1:4">
      <c r="A91" s="163" t="s">
        <v>128</v>
      </c>
      <c r="B91" s="151"/>
      <c r="C91" s="151"/>
      <c r="D91" s="151"/>
    </row>
    <row r="92" spans="1:4">
      <c r="A92" s="152" t="s">
        <v>129</v>
      </c>
      <c r="B92" s="158" t="s">
        <v>130</v>
      </c>
      <c r="C92" s="153" t="s">
        <v>38</v>
      </c>
      <c r="D92" s="153" t="s">
        <v>19</v>
      </c>
    </row>
    <row r="93" spans="1:4">
      <c r="A93" s="152" t="s">
        <v>42</v>
      </c>
      <c r="B93" t="s">
        <v>132</v>
      </c>
      <c r="C93" s="176">
        <f>(((1+1/3)/12)/12)+((1/12)/12)</f>
        <v>0.0162037037037037</v>
      </c>
      <c r="D93" s="160">
        <f t="shared" ref="D93:D97" si="2">TRUNC(($D$88*C93),2)</f>
        <v>57.35</v>
      </c>
    </row>
    <row r="94" spans="1:4">
      <c r="A94" s="152" t="s">
        <v>45</v>
      </c>
      <c r="B94" t="s">
        <v>133</v>
      </c>
      <c r="C94" s="171">
        <f>((5/30)/12)</f>
        <v>0.0138888888888889</v>
      </c>
      <c r="D94" s="174">
        <f t="shared" si="2"/>
        <v>49.15</v>
      </c>
    </row>
    <row r="95" spans="1:4">
      <c r="A95" s="152" t="s">
        <v>48</v>
      </c>
      <c r="B95" t="s">
        <v>134</v>
      </c>
      <c r="C95" s="171">
        <f>((5/30)/12)*0.02</f>
        <v>0.000277777777777778</v>
      </c>
      <c r="D95" s="174">
        <f t="shared" si="2"/>
        <v>0.98</v>
      </c>
    </row>
    <row r="96" ht="30" spans="1:4">
      <c r="A96" s="152" t="s">
        <v>50</v>
      </c>
      <c r="B96" s="177" t="s">
        <v>135</v>
      </c>
      <c r="C96" s="178">
        <f>((15/30)/12)*0.08</f>
        <v>0.00333333333333333</v>
      </c>
      <c r="D96" s="174">
        <f t="shared" si="2"/>
        <v>11.79</v>
      </c>
    </row>
    <row r="97" spans="1:4">
      <c r="A97" s="152" t="s">
        <v>53</v>
      </c>
      <c r="B97" t="s">
        <v>136</v>
      </c>
      <c r="C97" s="171">
        <f>((1+1/3)/12)*0.00001*((4/12))</f>
        <v>3.7037037037037e-7</v>
      </c>
      <c r="D97" s="174">
        <f t="shared" si="2"/>
        <v>0</v>
      </c>
    </row>
    <row r="98" spans="1:4">
      <c r="A98" s="152" t="s">
        <v>55</v>
      </c>
      <c r="B98" s="177" t="s">
        <v>214</v>
      </c>
      <c r="C98" s="181">
        <v>0</v>
      </c>
      <c r="D98" s="174">
        <f>TRUNC($D$88*C98)</f>
        <v>0</v>
      </c>
    </row>
    <row r="99" spans="1:4">
      <c r="A99" s="152" t="s">
        <v>58</v>
      </c>
      <c r="C99" s="176">
        <f>SUBTOTAL(109,Submódulo4.159_54[Percentual])</f>
        <v>0.0337040740740741</v>
      </c>
      <c r="D99" s="160">
        <f>TRUNC((SUM(D93:D98)),2)</f>
        <v>119.27</v>
      </c>
    </row>
    <row r="100" spans="1:4">
      <c r="A100" s="152"/>
      <c r="C100" s="153"/>
      <c r="D100" s="160"/>
    </row>
    <row r="101" spans="1:4">
      <c r="A101" s="163" t="s">
        <v>144</v>
      </c>
      <c r="B101" s="151"/>
      <c r="C101" s="151"/>
      <c r="D101" s="151"/>
    </row>
    <row r="102" spans="1:4">
      <c r="A102" s="152" t="s">
        <v>145</v>
      </c>
      <c r="B102" s="158" t="s">
        <v>146</v>
      </c>
      <c r="C102" s="153" t="s">
        <v>18</v>
      </c>
      <c r="D102" s="153" t="s">
        <v>19</v>
      </c>
    </row>
    <row r="103" ht="75" spans="1:4">
      <c r="A103" s="152" t="s">
        <v>42</v>
      </c>
      <c r="B103" s="182" t="s">
        <v>147</v>
      </c>
      <c r="C103" s="183" t="s">
        <v>215</v>
      </c>
      <c r="D103" s="184" t="s">
        <v>216</v>
      </c>
    </row>
    <row r="104" spans="1:4">
      <c r="A104" s="152" t="s">
        <v>58</v>
      </c>
      <c r="C104" s="153"/>
      <c r="D104" s="186" t="str">
        <f>D103</f>
        <v>*=TRUNCAR(($D$86/220)*(1*(365/12))/2)</v>
      </c>
    </row>
    <row r="106" spans="1:4">
      <c r="A106" s="163" t="s">
        <v>148</v>
      </c>
      <c r="B106" s="151"/>
      <c r="C106" s="151"/>
      <c r="D106" s="151"/>
    </row>
    <row r="107" spans="1:4">
      <c r="A107" s="152" t="s">
        <v>149</v>
      </c>
      <c r="B107" s="158" t="s">
        <v>150</v>
      </c>
      <c r="C107" s="153" t="s">
        <v>18</v>
      </c>
      <c r="D107" s="153" t="s">
        <v>19</v>
      </c>
    </row>
    <row r="108" spans="1:4">
      <c r="A108" s="152" t="s">
        <v>129</v>
      </c>
      <c r="B108" t="s">
        <v>130</v>
      </c>
      <c r="D108" s="155">
        <f>D99</f>
        <v>119.27</v>
      </c>
    </row>
    <row r="109" spans="1:4">
      <c r="A109" s="152" t="s">
        <v>145</v>
      </c>
      <c r="B109" t="s">
        <v>151</v>
      </c>
      <c r="C109" s="158"/>
      <c r="D109" s="187" t="str">
        <f>Submódulo4.260_55[[#Totals],[Valor]]</f>
        <v>*=TRUNCAR(($D$86/220)*(1*(365/12))/2)</v>
      </c>
    </row>
    <row r="110" ht="45" spans="1:4">
      <c r="A110" s="152" t="s">
        <v>58</v>
      </c>
      <c r="B110" s="173"/>
      <c r="C110" s="183" t="s">
        <v>217</v>
      </c>
      <c r="D110" s="188">
        <f>TRUNC((SUM(D108:D109)),2)</f>
        <v>119.27</v>
      </c>
    </row>
    <row r="112" spans="1:4">
      <c r="A112" s="130" t="s">
        <v>152</v>
      </c>
      <c r="B112" s="131"/>
      <c r="C112" s="131"/>
      <c r="D112" s="131"/>
    </row>
    <row r="113" spans="1:4">
      <c r="A113" s="152" t="s">
        <v>153</v>
      </c>
      <c r="B113" s="173" t="s">
        <v>154</v>
      </c>
      <c r="C113" s="152" t="s">
        <v>18</v>
      </c>
      <c r="D113" s="152" t="s">
        <v>19</v>
      </c>
    </row>
    <row r="114" spans="1:4">
      <c r="A114" s="152" t="s">
        <v>42</v>
      </c>
      <c r="B114" t="s">
        <v>218</v>
      </c>
      <c r="D114" s="189">
        <f>'Uniformes e EPI'!G63</f>
        <v>109.82</v>
      </c>
    </row>
    <row r="115" spans="1:4">
      <c r="A115" s="152" t="s">
        <v>45</v>
      </c>
      <c r="B115" t="s">
        <v>219</v>
      </c>
      <c r="D115" s="189">
        <f>EPC!E21</f>
        <v>12.16</v>
      </c>
    </row>
    <row r="116" spans="1:4">
      <c r="A116" s="152" t="s">
        <v>48</v>
      </c>
      <c r="B116" t="s">
        <v>156</v>
      </c>
      <c r="D116" s="189">
        <f>'Equipamentos e Materiais'!E113</f>
        <v>161.05</v>
      </c>
    </row>
    <row r="117" spans="1:4">
      <c r="A117" s="152" t="s">
        <v>50</v>
      </c>
      <c r="B117" t="s">
        <v>157</v>
      </c>
      <c r="D117" s="189">
        <f>'Equipamentos e Materiais'!F144</f>
        <v>29.49</v>
      </c>
    </row>
    <row r="118" spans="1:4">
      <c r="A118" s="152" t="s">
        <v>53</v>
      </c>
      <c r="B118" t="s">
        <v>220</v>
      </c>
      <c r="D118" s="189">
        <f>H117</f>
        <v>0</v>
      </c>
    </row>
    <row r="119" spans="1:4">
      <c r="A119" s="152" t="s">
        <v>58</v>
      </c>
      <c r="D119" s="190">
        <f>TRUNC(SUM(D114:D118),2)</f>
        <v>312.52</v>
      </c>
    </row>
    <row r="120" ht="15.75"/>
    <row r="121" ht="16.5" spans="1:4">
      <c r="A121" s="161" t="s">
        <v>221</v>
      </c>
      <c r="B121" s="161"/>
      <c r="C121" s="166" t="s">
        <v>202</v>
      </c>
      <c r="D121" s="167">
        <f>D31</f>
        <v>1716.86</v>
      </c>
    </row>
    <row r="122" ht="16.5" spans="1:4">
      <c r="A122" s="161"/>
      <c r="B122" s="161"/>
      <c r="C122" s="168" t="s">
        <v>212</v>
      </c>
      <c r="D122" s="167">
        <f>D73</f>
        <v>1718.75</v>
      </c>
    </row>
    <row r="123" ht="16.5" spans="1:4">
      <c r="A123" s="161"/>
      <c r="B123" s="161"/>
      <c r="C123" s="166" t="s">
        <v>213</v>
      </c>
      <c r="D123" s="167">
        <f>D83</f>
        <v>103.73</v>
      </c>
    </row>
    <row r="124" ht="16.5" spans="1:4">
      <c r="A124" s="161"/>
      <c r="B124" s="161"/>
      <c r="C124" s="168" t="s">
        <v>222</v>
      </c>
      <c r="D124" s="167">
        <f>D110</f>
        <v>119.27</v>
      </c>
    </row>
    <row r="125" ht="16.5" spans="1:4">
      <c r="A125" s="161"/>
      <c r="B125" s="161"/>
      <c r="C125" s="166" t="s">
        <v>223</v>
      </c>
      <c r="D125" s="167">
        <f>D119</f>
        <v>312.52</v>
      </c>
    </row>
    <row r="126" ht="16.5" spans="1:4">
      <c r="A126" s="161"/>
      <c r="B126" s="161"/>
      <c r="C126" s="168" t="s">
        <v>204</v>
      </c>
      <c r="D126" s="169">
        <f>TRUNC((SUM(D121:D125)),2)</f>
        <v>3971.13</v>
      </c>
    </row>
    <row r="127" ht="15.75"/>
    <row r="128" spans="1:4">
      <c r="A128" s="130" t="s">
        <v>164</v>
      </c>
      <c r="B128" s="131"/>
      <c r="C128" s="131"/>
      <c r="D128" s="131"/>
    </row>
    <row r="129" ht="15.75" spans="1:7">
      <c r="A129" s="152" t="s">
        <v>165</v>
      </c>
      <c r="B129" t="s">
        <v>166</v>
      </c>
      <c r="C129" s="153" t="s">
        <v>38</v>
      </c>
      <c r="D129" s="153" t="s">
        <v>19</v>
      </c>
      <c r="F129" s="191" t="s">
        <v>224</v>
      </c>
      <c r="G129" s="191"/>
    </row>
    <row r="130" ht="15.75" spans="1:7">
      <c r="A130" s="152" t="s">
        <v>42</v>
      </c>
      <c r="B130" t="s">
        <v>167</v>
      </c>
      <c r="C130" s="192">
        <v>0.05</v>
      </c>
      <c r="D130" s="155">
        <f>TRUNC(($D$126*C130),2)</f>
        <v>198.55</v>
      </c>
      <c r="F130" s="193" t="s">
        <v>225</v>
      </c>
      <c r="G130" s="178">
        <f>C132</f>
        <v>0.0865</v>
      </c>
    </row>
    <row r="131" ht="15.75" spans="1:7">
      <c r="A131" s="152" t="s">
        <v>45</v>
      </c>
      <c r="B131" t="s">
        <v>59</v>
      </c>
      <c r="C131" s="192">
        <v>0.0462</v>
      </c>
      <c r="D131" s="155">
        <f>TRUNC((C131*(D126+D130)),2)</f>
        <v>192.63</v>
      </c>
      <c r="F131" s="194" t="s">
        <v>226</v>
      </c>
      <c r="G131" s="195">
        <f>TRUNC(SUM(D126,D130,D131),2)</f>
        <v>4362.31</v>
      </c>
    </row>
    <row r="132" ht="15.75" spans="1:7">
      <c r="A132" s="152" t="s">
        <v>48</v>
      </c>
      <c r="B132" t="s">
        <v>168</v>
      </c>
      <c r="C132" s="171">
        <f>SUM(C133:C135)</f>
        <v>0.0865</v>
      </c>
      <c r="D132" s="155">
        <f>TRUNC((SUM(D133:D135)),2)</f>
        <v>413.05</v>
      </c>
      <c r="F132" s="193" t="s">
        <v>227</v>
      </c>
      <c r="G132" s="196">
        <f>(100-8.65)/100</f>
        <v>0.9135</v>
      </c>
    </row>
    <row r="133" ht="15.75" spans="1:7">
      <c r="A133" s="152"/>
      <c r="B133" t="s">
        <v>228</v>
      </c>
      <c r="C133" s="171">
        <v>0.0065</v>
      </c>
      <c r="D133" s="155">
        <f t="shared" ref="D133:D135" si="3">TRUNC(($G$133*C133),2)</f>
        <v>31.03</v>
      </c>
      <c r="F133" s="194" t="s">
        <v>224</v>
      </c>
      <c r="G133" s="195">
        <f>TRUNC((G131/G132),2)</f>
        <v>4775.38</v>
      </c>
    </row>
    <row r="134" ht="15.75" spans="1:4">
      <c r="A134" s="152"/>
      <c r="B134" t="s">
        <v>229</v>
      </c>
      <c r="C134" s="171">
        <v>0.03</v>
      </c>
      <c r="D134" s="155">
        <f t="shared" si="3"/>
        <v>143.26</v>
      </c>
    </row>
    <row r="135" spans="1:4">
      <c r="A135" s="152"/>
      <c r="B135" t="s">
        <v>230</v>
      </c>
      <c r="C135" s="171">
        <v>0.05</v>
      </c>
      <c r="D135" s="155">
        <f t="shared" si="3"/>
        <v>238.76</v>
      </c>
    </row>
    <row r="136" spans="1:4">
      <c r="A136" s="152" t="s">
        <v>58</v>
      </c>
      <c r="C136" s="197"/>
      <c r="D136" s="160">
        <f>TRUNC(SUM(D130:D132),2)</f>
        <v>804.23</v>
      </c>
    </row>
    <row r="137" spans="1:4">
      <c r="A137" s="152"/>
      <c r="C137" s="197"/>
      <c r="D137" s="160"/>
    </row>
    <row r="139" spans="1:4">
      <c r="A139" s="130" t="s">
        <v>172</v>
      </c>
      <c r="B139" s="131"/>
      <c r="C139" s="131"/>
      <c r="D139" s="131"/>
    </row>
    <row r="140" spans="1:4">
      <c r="A140" s="152" t="s">
        <v>16</v>
      </c>
      <c r="B140" s="153" t="s">
        <v>173</v>
      </c>
      <c r="C140" s="153" t="s">
        <v>102</v>
      </c>
      <c r="D140" s="153" t="s">
        <v>19</v>
      </c>
    </row>
    <row r="141" spans="1:4">
      <c r="A141" s="152" t="s">
        <v>42</v>
      </c>
      <c r="B141" t="s">
        <v>36</v>
      </c>
      <c r="D141" s="160">
        <f>D31</f>
        <v>1716.86</v>
      </c>
    </row>
    <row r="142" spans="1:4">
      <c r="A142" s="152" t="s">
        <v>45</v>
      </c>
      <c r="B142" t="s">
        <v>61</v>
      </c>
      <c r="D142" s="160">
        <f>D73</f>
        <v>1718.75</v>
      </c>
    </row>
    <row r="143" spans="1:4">
      <c r="A143" s="152" t="s">
        <v>48</v>
      </c>
      <c r="B143" t="s">
        <v>108</v>
      </c>
      <c r="D143" s="160">
        <f>D83</f>
        <v>103.73</v>
      </c>
    </row>
    <row r="144" spans="1:4">
      <c r="A144" s="152" t="s">
        <v>50</v>
      </c>
      <c r="B144" t="s">
        <v>174</v>
      </c>
      <c r="D144" s="160">
        <f>D110</f>
        <v>119.27</v>
      </c>
    </row>
    <row r="145" spans="1:4">
      <c r="A145" s="152" t="s">
        <v>53</v>
      </c>
      <c r="B145" t="s">
        <v>152</v>
      </c>
      <c r="D145" s="160">
        <f>D119</f>
        <v>312.52</v>
      </c>
    </row>
    <row r="146" spans="2:4">
      <c r="B146" s="198" t="s">
        <v>231</v>
      </c>
      <c r="D146" s="160">
        <f>TRUNC(SUM(D141:D145),2)</f>
        <v>3971.13</v>
      </c>
    </row>
    <row r="147" spans="1:4">
      <c r="A147" s="152" t="s">
        <v>55</v>
      </c>
      <c r="B147" t="s">
        <v>164</v>
      </c>
      <c r="D147" s="160">
        <f>D136</f>
        <v>804.23</v>
      </c>
    </row>
    <row r="148" spans="1:4">
      <c r="A148" s="199"/>
      <c r="B148" s="200" t="s">
        <v>232</v>
      </c>
      <c r="C148" s="201"/>
      <c r="D148" s="202">
        <f>TRUNC((SUM(D141:D145)+D147),2)</f>
        <v>4775.36</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A128:D128"/>
    <mergeCell ref="F129:G129"/>
    <mergeCell ref="A139:D139"/>
    <mergeCell ref="A41:B43"/>
    <mergeCell ref="A85:B88"/>
    <mergeCell ref="A121:B126"/>
  </mergeCells>
  <pageMargins left="0.75" right="0.75" top="1" bottom="1" header="0.5" footer="0.5"/>
  <pageSetup paperSize="9" scale="90"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9"/>
  <sheetViews>
    <sheetView topLeftCell="A123" workbookViewId="0">
      <selection activeCell="F15" sqref="F15:G15"/>
    </sheetView>
  </sheetViews>
  <sheetFormatPr defaultColWidth="9.14285714285714" defaultRowHeight="15" outlineLevelCol="6"/>
  <cols>
    <col min="1" max="1" width="13.2857142857143" customWidth="1"/>
    <col min="2" max="2" width="50.5714285714286" customWidth="1"/>
    <col min="3" max="3" width="20.2857142857143" customWidth="1"/>
    <col min="4" max="4" width="41" customWidth="1"/>
    <col min="6" max="6" width="22.8571428571429" customWidth="1"/>
    <col min="7" max="7" width="11.4285714285714" customWidth="1"/>
  </cols>
  <sheetData>
    <row r="1" spans="1:1">
      <c r="A1" s="209"/>
    </row>
    <row r="2" ht="19.5" spans="1:4">
      <c r="A2" s="121" t="s">
        <v>177</v>
      </c>
      <c r="B2" s="122"/>
      <c r="C2" s="122"/>
      <c r="D2" s="122"/>
    </row>
    <row r="3" ht="15.75" spans="1:4">
      <c r="A3" s="210" t="s">
        <v>178</v>
      </c>
      <c r="B3" s="211"/>
      <c r="C3" s="211"/>
      <c r="D3" s="211"/>
    </row>
    <row r="4" spans="1:4">
      <c r="A4" s="203" t="s">
        <v>179</v>
      </c>
      <c r="B4" s="126" t="s">
        <v>180</v>
      </c>
      <c r="C4" s="127"/>
      <c r="D4" s="127"/>
    </row>
    <row r="5" spans="1:4">
      <c r="A5" s="212"/>
      <c r="B5" s="129"/>
      <c r="C5" s="129"/>
      <c r="D5" s="129"/>
    </row>
    <row r="6" ht="15.75" spans="1:4">
      <c r="A6" s="130" t="s">
        <v>181</v>
      </c>
      <c r="B6" s="131"/>
      <c r="C6" s="131"/>
      <c r="D6" s="131"/>
    </row>
    <row r="7" ht="15.75" spans="1:4">
      <c r="A7" s="132" t="s">
        <v>42</v>
      </c>
      <c r="B7" s="133" t="s">
        <v>182</v>
      </c>
      <c r="C7" s="134" t="s">
        <v>183</v>
      </c>
      <c r="D7" s="134"/>
    </row>
    <row r="8" spans="1:4">
      <c r="A8" s="135" t="s">
        <v>45</v>
      </c>
      <c r="B8" s="136" t="s">
        <v>184</v>
      </c>
      <c r="C8" s="137" t="s">
        <v>185</v>
      </c>
      <c r="D8" s="137"/>
    </row>
    <row r="9" spans="1:4">
      <c r="A9" s="138" t="s">
        <v>48</v>
      </c>
      <c r="B9" s="139" t="s">
        <v>186</v>
      </c>
      <c r="C9" s="137" t="s">
        <v>187</v>
      </c>
      <c r="D9" s="137"/>
    </row>
    <row r="10" spans="1:4">
      <c r="A10" s="135" t="s">
        <v>53</v>
      </c>
      <c r="B10" s="136" t="s">
        <v>188</v>
      </c>
      <c r="C10" s="137" t="s">
        <v>189</v>
      </c>
      <c r="D10" s="137"/>
    </row>
    <row r="11" ht="15.75" spans="1:4">
      <c r="A11" s="140" t="s">
        <v>190</v>
      </c>
      <c r="B11" s="141"/>
      <c r="C11" s="141"/>
      <c r="D11" s="141"/>
    </row>
    <row r="12" ht="16.5" spans="1:4">
      <c r="A12" s="142" t="s">
        <v>191</v>
      </c>
      <c r="B12" s="143"/>
      <c r="C12" s="141" t="s">
        <v>192</v>
      </c>
      <c r="D12" s="144" t="s">
        <v>193</v>
      </c>
    </row>
    <row r="13" ht="15.75" spans="1:4">
      <c r="A13" s="145" t="s">
        <v>239</v>
      </c>
      <c r="B13" s="146"/>
      <c r="C13" s="137" t="s">
        <v>195</v>
      </c>
      <c r="D13" s="147">
        <f>RESUMO!D3</f>
        <v>1</v>
      </c>
    </row>
    <row r="14" spans="1:4">
      <c r="A14" s="148"/>
      <c r="B14" s="149"/>
      <c r="C14" s="137"/>
      <c r="D14" s="150"/>
    </row>
    <row r="15" ht="15.75" spans="1:7">
      <c r="A15" s="140" t="s">
        <v>14</v>
      </c>
      <c r="B15" s="141"/>
      <c r="C15" s="141"/>
      <c r="D15" s="141"/>
      <c r="F15" s="151"/>
      <c r="G15" s="151"/>
    </row>
    <row r="16" ht="15.75" spans="1:4">
      <c r="A16" s="152" t="s">
        <v>16</v>
      </c>
      <c r="B16" t="s">
        <v>17</v>
      </c>
      <c r="C16" s="153" t="s">
        <v>18</v>
      </c>
      <c r="D16" s="153" t="s">
        <v>19</v>
      </c>
    </row>
    <row r="17" spans="1:4">
      <c r="A17" s="152">
        <v>1</v>
      </c>
      <c r="B17" t="s">
        <v>20</v>
      </c>
      <c r="C17" s="154" t="s">
        <v>102</v>
      </c>
      <c r="D17" s="154" t="str">
        <f>A13</f>
        <v>Técnico em Manutenção</v>
      </c>
    </row>
    <row r="18" spans="1:4">
      <c r="A18" s="152">
        <v>2</v>
      </c>
      <c r="B18" t="s">
        <v>23</v>
      </c>
      <c r="C18" s="154" t="s">
        <v>196</v>
      </c>
      <c r="D18" s="154" t="s">
        <v>197</v>
      </c>
    </row>
    <row r="19" spans="1:4">
      <c r="A19" s="152">
        <v>3</v>
      </c>
      <c r="B19" t="s">
        <v>26</v>
      </c>
      <c r="C19" s="154" t="str">
        <f>C9</f>
        <v>CCT PB000071/2023</v>
      </c>
      <c r="D19" s="155">
        <v>1716.86</v>
      </c>
    </row>
    <row r="20" spans="1:4">
      <c r="A20" s="152">
        <v>4</v>
      </c>
      <c r="B20" t="s">
        <v>29</v>
      </c>
      <c r="C20" s="154" t="str">
        <f>C9</f>
        <v>CCT PB000071/2023</v>
      </c>
      <c r="D20" s="156" t="s">
        <v>198</v>
      </c>
    </row>
    <row r="21" spans="1:4">
      <c r="A21" s="152">
        <v>5</v>
      </c>
      <c r="B21" t="s">
        <v>33</v>
      </c>
      <c r="C21" s="154" t="str">
        <f>C9</f>
        <v>CCT PB000071/2023</v>
      </c>
      <c r="D21" s="157" t="s">
        <v>199</v>
      </c>
    </row>
    <row r="22" spans="1:7">
      <c r="A22" s="209"/>
      <c r="F22" s="151"/>
      <c r="G22" s="151"/>
    </row>
    <row r="23" spans="1:4">
      <c r="A23" s="130" t="s">
        <v>36</v>
      </c>
      <c r="B23" s="131"/>
      <c r="C23" s="131"/>
      <c r="D23" s="131"/>
    </row>
    <row r="24" spans="1:7">
      <c r="A24" s="152" t="s">
        <v>39</v>
      </c>
      <c r="B24" s="158" t="s">
        <v>40</v>
      </c>
      <c r="C24" s="153" t="s">
        <v>18</v>
      </c>
      <c r="D24" s="153" t="s">
        <v>19</v>
      </c>
      <c r="G24" s="159"/>
    </row>
    <row r="25" spans="1:7">
      <c r="A25" s="152" t="s">
        <v>42</v>
      </c>
      <c r="B25" t="s">
        <v>43</v>
      </c>
      <c r="C25" s="156" t="s">
        <v>200</v>
      </c>
      <c r="D25" s="155">
        <f>D19</f>
        <v>1716.86</v>
      </c>
      <c r="G25" s="159"/>
    </row>
    <row r="26" spans="1:7">
      <c r="A26" s="152" t="s">
        <v>45</v>
      </c>
      <c r="B26" t="s">
        <v>46</v>
      </c>
      <c r="C26" s="156"/>
      <c r="D26" s="155">
        <v>0</v>
      </c>
      <c r="G26" s="159"/>
    </row>
    <row r="27" spans="1:4">
      <c r="A27" s="152" t="s">
        <v>48</v>
      </c>
      <c r="B27" t="s">
        <v>49</v>
      </c>
      <c r="C27" s="156"/>
      <c r="D27" s="155">
        <v>0</v>
      </c>
    </row>
    <row r="28" spans="1:4">
      <c r="A28" s="152" t="s">
        <v>50</v>
      </c>
      <c r="B28" t="s">
        <v>51</v>
      </c>
      <c r="C28" s="156"/>
      <c r="D28" s="155">
        <v>0</v>
      </c>
    </row>
    <row r="29" spans="1:4">
      <c r="A29" s="152" t="s">
        <v>53</v>
      </c>
      <c r="B29" t="s">
        <v>54</v>
      </c>
      <c r="C29" s="156"/>
      <c r="D29" s="155">
        <v>0</v>
      </c>
    </row>
    <row r="30" spans="1:4">
      <c r="A30" s="152" t="s">
        <v>55</v>
      </c>
      <c r="B30" t="s">
        <v>56</v>
      </c>
      <c r="C30" s="156"/>
      <c r="D30" s="155">
        <v>0</v>
      </c>
    </row>
    <row r="31" spans="1:7">
      <c r="A31" s="152" t="s">
        <v>58</v>
      </c>
      <c r="C31" s="153"/>
      <c r="D31" s="160">
        <f>TRUNC((SUM(D25:D30)),2)</f>
        <v>1716.86</v>
      </c>
      <c r="F31" s="151"/>
      <c r="G31" s="151"/>
    </row>
    <row r="32" spans="1:1">
      <c r="A32" s="209"/>
    </row>
    <row r="33" spans="1:7">
      <c r="A33" s="161" t="s">
        <v>61</v>
      </c>
      <c r="B33" s="162"/>
      <c r="C33" s="162"/>
      <c r="D33" s="162"/>
      <c r="G33" s="159"/>
    </row>
    <row r="34" spans="1:1">
      <c r="A34" s="209"/>
    </row>
    <row r="35" spans="1:4">
      <c r="A35" s="163" t="s">
        <v>63</v>
      </c>
      <c r="B35" s="151"/>
      <c r="C35" s="151"/>
      <c r="D35" s="151"/>
    </row>
    <row r="36" spans="1:4">
      <c r="A36" s="152" t="s">
        <v>65</v>
      </c>
      <c r="B36" s="158" t="s">
        <v>66</v>
      </c>
      <c r="C36" s="153" t="s">
        <v>38</v>
      </c>
      <c r="D36" s="153" t="s">
        <v>19</v>
      </c>
    </row>
    <row r="37" spans="1:7">
      <c r="A37" s="152" t="s">
        <v>42</v>
      </c>
      <c r="B37" t="s">
        <v>67</v>
      </c>
      <c r="C37" s="164">
        <f>(1/12)</f>
        <v>0.0833333333333333</v>
      </c>
      <c r="D37" s="160">
        <f>TRUNC($D$31*C37,2)</f>
        <v>143.07</v>
      </c>
      <c r="F37" s="165"/>
      <c r="G37" s="165"/>
    </row>
    <row r="38" spans="1:7">
      <c r="A38" s="152" t="s">
        <v>45</v>
      </c>
      <c r="B38" t="s">
        <v>68</v>
      </c>
      <c r="C38" s="164">
        <f>(((1+1/3)/12))</f>
        <v>0.111111111111111</v>
      </c>
      <c r="D38" s="160">
        <f>TRUNC($D$31*C38,2)</f>
        <v>190.76</v>
      </c>
      <c r="F38" s="165"/>
      <c r="G38" s="165"/>
    </row>
    <row r="39" spans="1:7">
      <c r="A39" s="152" t="s">
        <v>58</v>
      </c>
      <c r="D39" s="160">
        <f>TRUNC((SUM(D37:D38)),2)</f>
        <v>333.83</v>
      </c>
      <c r="F39" s="165"/>
      <c r="G39" s="165"/>
    </row>
    <row r="40" ht="15.75" spans="1:7">
      <c r="A40" s="209"/>
      <c r="D40" s="160"/>
      <c r="F40" s="165"/>
      <c r="G40" s="165"/>
    </row>
    <row r="41" ht="16.5" spans="1:7">
      <c r="A41" s="161" t="s">
        <v>201</v>
      </c>
      <c r="B41" s="161"/>
      <c r="C41" s="166" t="s">
        <v>202</v>
      </c>
      <c r="D41" s="167">
        <f>D31</f>
        <v>1716.86</v>
      </c>
      <c r="F41" s="165"/>
      <c r="G41" s="165"/>
    </row>
    <row r="42" ht="16.5" spans="1:7">
      <c r="A42" s="161"/>
      <c r="B42" s="161"/>
      <c r="C42" s="168" t="s">
        <v>203</v>
      </c>
      <c r="D42" s="167">
        <f>D39</f>
        <v>333.83</v>
      </c>
      <c r="F42" s="165"/>
      <c r="G42" s="165"/>
    </row>
    <row r="43" ht="16.5" spans="1:7">
      <c r="A43" s="161"/>
      <c r="B43" s="161"/>
      <c r="C43" s="166" t="s">
        <v>204</v>
      </c>
      <c r="D43" s="169">
        <f>TRUNC((SUM(D41:D42)),2)</f>
        <v>2050.69</v>
      </c>
      <c r="F43" s="165"/>
      <c r="G43" s="165"/>
    </row>
    <row r="44" ht="15.75" spans="1:7">
      <c r="A44" s="152"/>
      <c r="C44" s="170"/>
      <c r="D44" s="160"/>
      <c r="F44" s="165"/>
      <c r="G44" s="165"/>
    </row>
    <row r="45" spans="1:4">
      <c r="A45" s="163" t="s">
        <v>77</v>
      </c>
      <c r="B45" s="151"/>
      <c r="C45" s="151"/>
      <c r="D45" s="151"/>
    </row>
    <row r="46" spans="1:4">
      <c r="A46" s="152" t="s">
        <v>78</v>
      </c>
      <c r="B46" s="158" t="s">
        <v>79</v>
      </c>
      <c r="C46" s="153" t="s">
        <v>38</v>
      </c>
      <c r="D46" s="153" t="s">
        <v>80</v>
      </c>
    </row>
    <row r="47" spans="1:4">
      <c r="A47" s="152" t="s">
        <v>42</v>
      </c>
      <c r="B47" t="s">
        <v>81</v>
      </c>
      <c r="C47" s="164">
        <v>0.2</v>
      </c>
      <c r="D47" s="160">
        <f t="shared" ref="D47:D54" si="0">TRUNC(($D$43*C47),2)</f>
        <v>410.13</v>
      </c>
    </row>
    <row r="48" spans="1:4">
      <c r="A48" s="152" t="s">
        <v>45</v>
      </c>
      <c r="B48" t="s">
        <v>82</v>
      </c>
      <c r="C48" s="164">
        <v>0.025</v>
      </c>
      <c r="D48" s="160">
        <f t="shared" si="0"/>
        <v>51.26</v>
      </c>
    </row>
    <row r="49" spans="1:4">
      <c r="A49" s="152" t="s">
        <v>48</v>
      </c>
      <c r="B49" t="s">
        <v>205</v>
      </c>
      <c r="C49" s="171">
        <v>0.06</v>
      </c>
      <c r="D49" s="155">
        <f t="shared" si="0"/>
        <v>123.04</v>
      </c>
    </row>
    <row r="50" spans="1:4">
      <c r="A50" s="152" t="s">
        <v>50</v>
      </c>
      <c r="B50" t="s">
        <v>84</v>
      </c>
      <c r="C50" s="164">
        <v>0.015</v>
      </c>
      <c r="D50" s="160">
        <f t="shared" si="0"/>
        <v>30.76</v>
      </c>
    </row>
    <row r="51" spans="1:4">
      <c r="A51" s="152" t="s">
        <v>53</v>
      </c>
      <c r="B51" t="s">
        <v>85</v>
      </c>
      <c r="C51" s="164">
        <v>0.01</v>
      </c>
      <c r="D51" s="160">
        <f t="shared" si="0"/>
        <v>20.5</v>
      </c>
    </row>
    <row r="52" spans="1:4">
      <c r="A52" s="152" t="s">
        <v>55</v>
      </c>
      <c r="B52" t="s">
        <v>86</v>
      </c>
      <c r="C52" s="164">
        <v>0.006</v>
      </c>
      <c r="D52" s="160">
        <f t="shared" si="0"/>
        <v>12.3</v>
      </c>
    </row>
    <row r="53" spans="1:4">
      <c r="A53" s="152" t="s">
        <v>87</v>
      </c>
      <c r="B53" t="s">
        <v>88</v>
      </c>
      <c r="C53" s="164">
        <v>0.002</v>
      </c>
      <c r="D53" s="160">
        <f t="shared" si="0"/>
        <v>4.1</v>
      </c>
    </row>
    <row r="54" spans="1:4">
      <c r="A54" s="152" t="s">
        <v>89</v>
      </c>
      <c r="B54" t="s">
        <v>90</v>
      </c>
      <c r="C54" s="164">
        <v>0.08</v>
      </c>
      <c r="D54" s="160">
        <f t="shared" si="0"/>
        <v>164.05</v>
      </c>
    </row>
    <row r="55" spans="1:4">
      <c r="A55" s="152" t="s">
        <v>58</v>
      </c>
      <c r="C55" s="170">
        <f>SUM(C47:C54)</f>
        <v>0.398</v>
      </c>
      <c r="D55" s="160">
        <f>TRUNC(SUM(D47:D54),2)</f>
        <v>816.14</v>
      </c>
    </row>
    <row r="56" spans="1:4">
      <c r="A56" s="152"/>
      <c r="C56" s="170"/>
      <c r="D56" s="160"/>
    </row>
    <row r="57" spans="1:4">
      <c r="A57" s="163" t="s">
        <v>95</v>
      </c>
      <c r="B57" s="151"/>
      <c r="C57" s="151"/>
      <c r="D57" s="151"/>
    </row>
    <row r="58" spans="1:4">
      <c r="A58" s="152" t="s">
        <v>96</v>
      </c>
      <c r="B58" s="158" t="s">
        <v>97</v>
      </c>
      <c r="C58" s="153" t="s">
        <v>18</v>
      </c>
      <c r="D58" s="153" t="s">
        <v>19</v>
      </c>
    </row>
    <row r="59" spans="1:4">
      <c r="A59" s="152" t="s">
        <v>42</v>
      </c>
      <c r="B59" t="s">
        <v>98</v>
      </c>
      <c r="C59" s="154"/>
      <c r="D59" s="172">
        <f>TRUNC(((22*4.7)*2)-((D25/100)*6),2)</f>
        <v>103.78</v>
      </c>
    </row>
    <row r="60" spans="1:4">
      <c r="A60" s="152" t="s">
        <v>45</v>
      </c>
      <c r="B60" t="s">
        <v>99</v>
      </c>
      <c r="C60" s="154" t="str">
        <f>C9</f>
        <v>CCT PB000071/2023</v>
      </c>
      <c r="D60" s="155">
        <f>TRUNC((((500))-(((500))*0.2)),2)</f>
        <v>400</v>
      </c>
    </row>
    <row r="61" spans="1:4">
      <c r="A61" s="152" t="s">
        <v>48</v>
      </c>
      <c r="B61" t="s">
        <v>100</v>
      </c>
      <c r="C61" s="154"/>
      <c r="D61" s="155">
        <v>0</v>
      </c>
    </row>
    <row r="62" spans="1:6">
      <c r="A62" s="152" t="s">
        <v>50</v>
      </c>
      <c r="B62" s="173" t="s">
        <v>206</v>
      </c>
      <c r="C62" s="174"/>
      <c r="D62" s="174">
        <v>0</v>
      </c>
      <c r="F62" s="173"/>
    </row>
    <row r="63" spans="1:4">
      <c r="A63" s="152" t="s">
        <v>53</v>
      </c>
      <c r="B63" s="158" t="s">
        <v>207</v>
      </c>
      <c r="C63" s="154" t="str">
        <f>C60</f>
        <v>CCT PB000071/2023</v>
      </c>
      <c r="D63" s="155">
        <v>20</v>
      </c>
    </row>
    <row r="64" spans="1:4">
      <c r="A64" s="152" t="s">
        <v>55</v>
      </c>
      <c r="B64" s="175" t="s">
        <v>208</v>
      </c>
      <c r="C64" s="154" t="str">
        <f>C9</f>
        <v>CCT PB000071/2023</v>
      </c>
      <c r="D64" s="155">
        <v>5</v>
      </c>
    </row>
    <row r="65" spans="1:4">
      <c r="A65" s="152" t="s">
        <v>87</v>
      </c>
      <c r="B65" s="175" t="s">
        <v>209</v>
      </c>
      <c r="C65" s="174" t="str">
        <f>C60</f>
        <v>CCT PB000071/2023</v>
      </c>
      <c r="D65" s="155">
        <v>40</v>
      </c>
    </row>
    <row r="66" spans="1:4">
      <c r="A66" s="152" t="s">
        <v>58</v>
      </c>
      <c r="D66" s="160">
        <f>TRUNC((SUM(D59:D65)),2)</f>
        <v>568.78</v>
      </c>
    </row>
    <row r="67" spans="1:4">
      <c r="A67" s="152"/>
      <c r="D67" s="160"/>
    </row>
    <row r="68" spans="1:4">
      <c r="A68" s="163" t="s">
        <v>105</v>
      </c>
      <c r="B68" s="151"/>
      <c r="C68" s="151"/>
      <c r="D68" s="151"/>
    </row>
    <row r="69" spans="1:4">
      <c r="A69" s="152" t="s">
        <v>106</v>
      </c>
      <c r="B69" s="158" t="s">
        <v>107</v>
      </c>
      <c r="C69" s="153" t="s">
        <v>18</v>
      </c>
      <c r="D69" s="153" t="s">
        <v>19</v>
      </c>
    </row>
    <row r="70" spans="1:4">
      <c r="A70" s="152" t="s">
        <v>65</v>
      </c>
      <c r="B70" t="s">
        <v>66</v>
      </c>
      <c r="C70" s="153"/>
      <c r="D70" s="160">
        <f>D39</f>
        <v>333.83</v>
      </c>
    </row>
    <row r="71" spans="1:4">
      <c r="A71" s="152" t="s">
        <v>78</v>
      </c>
      <c r="B71" t="s">
        <v>79</v>
      </c>
      <c r="C71" s="153"/>
      <c r="D71" s="160">
        <f>D55</f>
        <v>816.14</v>
      </c>
    </row>
    <row r="72" spans="1:4">
      <c r="A72" s="152" t="s">
        <v>96</v>
      </c>
      <c r="B72" t="s">
        <v>97</v>
      </c>
      <c r="C72" s="153"/>
      <c r="D72" s="160">
        <f>D66</f>
        <v>568.78</v>
      </c>
    </row>
    <row r="73" spans="1:4">
      <c r="A73" s="152" t="s">
        <v>58</v>
      </c>
      <c r="C73" s="153"/>
      <c r="D73" s="160">
        <f>TRUNC((SUM(D70:D72)),2)</f>
        <v>1718.75</v>
      </c>
    </row>
    <row r="74" spans="1:1">
      <c r="A74" s="209"/>
    </row>
    <row r="75" spans="1:4">
      <c r="A75" s="130" t="s">
        <v>108</v>
      </c>
      <c r="B75" s="131"/>
      <c r="C75" s="131"/>
      <c r="D75" s="131"/>
    </row>
    <row r="76" spans="1:4">
      <c r="A76" s="152" t="s">
        <v>109</v>
      </c>
      <c r="B76" s="158" t="s">
        <v>110</v>
      </c>
      <c r="C76" s="153" t="s">
        <v>38</v>
      </c>
      <c r="D76" s="153" t="s">
        <v>19</v>
      </c>
    </row>
    <row r="77" spans="1:4">
      <c r="A77" s="152" t="s">
        <v>42</v>
      </c>
      <c r="B77" s="208" t="s">
        <v>111</v>
      </c>
      <c r="C77" s="171">
        <f>((1/12)*2%)</f>
        <v>0.00166666666666667</v>
      </c>
      <c r="D77" s="155">
        <f t="shared" ref="D77:D80" si="1">TRUNC(($D$31*C77),2)</f>
        <v>2.86</v>
      </c>
    </row>
    <row r="78" spans="1:4">
      <c r="A78" s="152" t="s">
        <v>45</v>
      </c>
      <c r="B78" s="208" t="s">
        <v>112</v>
      </c>
      <c r="C78" s="176">
        <v>0.08</v>
      </c>
      <c r="D78" s="160">
        <f>TRUNC(($D$77*C78),2)</f>
        <v>0.22</v>
      </c>
    </row>
    <row r="79" ht="30" spans="1:4">
      <c r="A79" s="152" t="s">
        <v>48</v>
      </c>
      <c r="B79" s="213" t="s">
        <v>113</v>
      </c>
      <c r="C79" s="178">
        <f>(0.08*0.4*0.02)</f>
        <v>0.00064</v>
      </c>
      <c r="D79" s="174">
        <f t="shared" si="1"/>
        <v>1.09</v>
      </c>
    </row>
    <row r="80" spans="1:4">
      <c r="A80" s="152" t="s">
        <v>50</v>
      </c>
      <c r="B80" s="208" t="s">
        <v>114</v>
      </c>
      <c r="C80" s="176">
        <f>(((7/30)/12)*0.98)</f>
        <v>0.0190555555555556</v>
      </c>
      <c r="D80" s="160">
        <f t="shared" si="1"/>
        <v>32.71</v>
      </c>
    </row>
    <row r="81" ht="30" spans="1:4">
      <c r="A81" s="152" t="s">
        <v>53</v>
      </c>
      <c r="B81" s="213" t="s">
        <v>210</v>
      </c>
      <c r="C81" s="178">
        <f>C55</f>
        <v>0.398</v>
      </c>
      <c r="D81" s="174">
        <f>TRUNC(($D$80*C81),2)</f>
        <v>13.01</v>
      </c>
    </row>
    <row r="82" ht="30" spans="1:4">
      <c r="A82" s="152" t="s">
        <v>55</v>
      </c>
      <c r="B82" s="213" t="s">
        <v>115</v>
      </c>
      <c r="C82" s="178">
        <f>(0.08*0.4*0.98)</f>
        <v>0.03136</v>
      </c>
      <c r="D82" s="174">
        <f>TRUNC(($D$31*C82),2)</f>
        <v>53.84</v>
      </c>
    </row>
    <row r="83" spans="1:4">
      <c r="A83" s="152" t="s">
        <v>58</v>
      </c>
      <c r="C83" s="176">
        <f>SUM(C77:C82)</f>
        <v>0.530722222222222</v>
      </c>
      <c r="D83" s="160">
        <f>TRUNC((SUM(D77:D82)),2)</f>
        <v>103.73</v>
      </c>
    </row>
    <row r="84" ht="15.75" spans="1:4">
      <c r="A84" s="152"/>
      <c r="D84" s="160"/>
    </row>
    <row r="85" ht="16.5" spans="1:4">
      <c r="A85" s="161" t="s">
        <v>211</v>
      </c>
      <c r="B85" s="161"/>
      <c r="C85" s="166" t="s">
        <v>202</v>
      </c>
      <c r="D85" s="167">
        <f>D31</f>
        <v>1716.86</v>
      </c>
    </row>
    <row r="86" ht="16.5" spans="1:4">
      <c r="A86" s="161"/>
      <c r="B86" s="161"/>
      <c r="C86" s="168" t="s">
        <v>212</v>
      </c>
      <c r="D86" s="167">
        <f>D73</f>
        <v>1718.75</v>
      </c>
    </row>
    <row r="87" ht="16.5" spans="1:4">
      <c r="A87" s="161"/>
      <c r="B87" s="161"/>
      <c r="C87" s="166" t="s">
        <v>213</v>
      </c>
      <c r="D87" s="167">
        <f>D83</f>
        <v>103.73</v>
      </c>
    </row>
    <row r="88" ht="16.5" spans="1:4">
      <c r="A88" s="161"/>
      <c r="B88" s="161"/>
      <c r="C88" s="168" t="s">
        <v>204</v>
      </c>
      <c r="D88" s="169">
        <f>TRUNC((SUM(D85:D87)),2)</f>
        <v>3539.34</v>
      </c>
    </row>
    <row r="89" ht="15.75" spans="1:4">
      <c r="A89" s="152"/>
      <c r="D89" s="160"/>
    </row>
    <row r="90" spans="1:4">
      <c r="A90" s="179" t="s">
        <v>127</v>
      </c>
      <c r="B90" s="180"/>
      <c r="C90" s="180"/>
      <c r="D90" s="180"/>
    </row>
    <row r="91" spans="1:4">
      <c r="A91" s="163" t="s">
        <v>128</v>
      </c>
      <c r="B91" s="151"/>
      <c r="C91" s="151"/>
      <c r="D91" s="151"/>
    </row>
    <row r="92" spans="1:4">
      <c r="A92" s="152" t="s">
        <v>129</v>
      </c>
      <c r="B92" s="158" t="s">
        <v>130</v>
      </c>
      <c r="C92" s="153" t="s">
        <v>38</v>
      </c>
      <c r="D92" s="153" t="s">
        <v>19</v>
      </c>
    </row>
    <row r="93" spans="1:4">
      <c r="A93" s="152" t="s">
        <v>42</v>
      </c>
      <c r="B93" s="208" t="s">
        <v>132</v>
      </c>
      <c r="C93" s="214">
        <f>(((1+1/3)/12)/12)+((1/12)/12)</f>
        <v>0.0162037037037037</v>
      </c>
      <c r="D93" s="190">
        <f t="shared" ref="D93:D97" si="2">TRUNC(($D$88*C93),2)</f>
        <v>57.35</v>
      </c>
    </row>
    <row r="94" spans="1:4">
      <c r="A94" s="152" t="s">
        <v>45</v>
      </c>
      <c r="B94" s="208" t="s">
        <v>133</v>
      </c>
      <c r="C94" s="192">
        <f>((5/30)/12)</f>
        <v>0.0138888888888889</v>
      </c>
      <c r="D94" s="215">
        <f t="shared" si="2"/>
        <v>49.15</v>
      </c>
    </row>
    <row r="95" spans="1:4">
      <c r="A95" s="152" t="s">
        <v>48</v>
      </c>
      <c r="B95" s="208" t="s">
        <v>134</v>
      </c>
      <c r="C95" s="192">
        <f>((5/30)/12)*0.02</f>
        <v>0.000277777777777778</v>
      </c>
      <c r="D95" s="215">
        <f t="shared" si="2"/>
        <v>0.98</v>
      </c>
    </row>
    <row r="96" ht="30" spans="1:4">
      <c r="A96" s="152" t="s">
        <v>50</v>
      </c>
      <c r="B96" s="213" t="s">
        <v>135</v>
      </c>
      <c r="C96" s="216">
        <f>((15/30)/12)*0.08</f>
        <v>0.00333333333333333</v>
      </c>
      <c r="D96" s="215">
        <f t="shared" si="2"/>
        <v>11.79</v>
      </c>
    </row>
    <row r="97" spans="1:4">
      <c r="A97" s="152" t="s">
        <v>53</v>
      </c>
      <c r="B97" s="208" t="s">
        <v>136</v>
      </c>
      <c r="C97" s="192">
        <f>((1+1/3)/12)*0.00001*((4/12))</f>
        <v>3.7037037037037e-7</v>
      </c>
      <c r="D97" s="215">
        <f t="shared" si="2"/>
        <v>0</v>
      </c>
    </row>
    <row r="98" ht="30" spans="1:4">
      <c r="A98" s="152" t="s">
        <v>55</v>
      </c>
      <c r="B98" s="213" t="s">
        <v>214</v>
      </c>
      <c r="C98" s="217">
        <v>0</v>
      </c>
      <c r="D98" s="215">
        <f>TRUNC($D$88*C98)</f>
        <v>0</v>
      </c>
    </row>
    <row r="99" spans="1:4">
      <c r="A99" s="152" t="s">
        <v>58</v>
      </c>
      <c r="B99" s="208"/>
      <c r="C99" s="214">
        <f>SUBTOTAL(109,Submódulo4.159_54110102[Percentual])</f>
        <v>0.0337040740740741</v>
      </c>
      <c r="D99" s="190">
        <f>TRUNC((SUM(D93:D98)),2)</f>
        <v>119.27</v>
      </c>
    </row>
    <row r="100" spans="1:4">
      <c r="A100" s="152"/>
      <c r="C100" s="153"/>
      <c r="D100" s="160"/>
    </row>
    <row r="101" spans="1:4">
      <c r="A101" s="163" t="s">
        <v>144</v>
      </c>
      <c r="B101" s="151"/>
      <c r="C101" s="151"/>
      <c r="D101" s="151"/>
    </row>
    <row r="102" spans="1:4">
      <c r="A102" s="152" t="s">
        <v>145</v>
      </c>
      <c r="B102" s="158" t="s">
        <v>146</v>
      </c>
      <c r="C102" s="153" t="s">
        <v>18</v>
      </c>
      <c r="D102" s="153" t="s">
        <v>19</v>
      </c>
    </row>
    <row r="103" ht="120" spans="1:4">
      <c r="A103" s="152" t="s">
        <v>42</v>
      </c>
      <c r="B103" s="182" t="s">
        <v>147</v>
      </c>
      <c r="C103" s="183" t="s">
        <v>215</v>
      </c>
      <c r="D103" s="184" t="s">
        <v>216</v>
      </c>
    </row>
    <row r="104" spans="1:4">
      <c r="A104" s="152" t="s">
        <v>58</v>
      </c>
      <c r="C104" s="185"/>
      <c r="D104" s="186" t="str">
        <f>D103</f>
        <v>*=TRUNCAR(($D$86/220)*(1*(365/12))/2)</v>
      </c>
    </row>
    <row r="105" spans="1:1">
      <c r="A105" s="209"/>
    </row>
    <row r="106" spans="1:4">
      <c r="A106" s="163" t="s">
        <v>148</v>
      </c>
      <c r="B106" s="151"/>
      <c r="C106" s="151"/>
      <c r="D106" s="151"/>
    </row>
    <row r="107" spans="1:4">
      <c r="A107" s="152" t="s">
        <v>149</v>
      </c>
      <c r="B107" s="158" t="s">
        <v>150</v>
      </c>
      <c r="C107" s="153" t="s">
        <v>18</v>
      </c>
      <c r="D107" s="153" t="s">
        <v>19</v>
      </c>
    </row>
    <row r="108" spans="1:4">
      <c r="A108" s="152" t="s">
        <v>129</v>
      </c>
      <c r="B108" t="s">
        <v>130</v>
      </c>
      <c r="D108" s="155">
        <f>D99</f>
        <v>119.27</v>
      </c>
    </row>
    <row r="109" spans="1:4">
      <c r="A109" s="152" t="s">
        <v>145</v>
      </c>
      <c r="B109" t="s">
        <v>151</v>
      </c>
      <c r="C109" s="158"/>
      <c r="D109" s="187" t="str">
        <f>Submódulo4.260_5510797[[#Totals],[Valor]]</f>
        <v>*=TRUNCAR(($D$86/220)*(1*(365/12))/2)</v>
      </c>
    </row>
    <row r="110" ht="90" spans="1:4">
      <c r="A110" s="152" t="s">
        <v>58</v>
      </c>
      <c r="B110" s="173"/>
      <c r="C110" s="183" t="s">
        <v>217</v>
      </c>
      <c r="D110" s="188">
        <f>TRUNC((SUM(D108:D109)),2)</f>
        <v>119.27</v>
      </c>
    </row>
    <row r="111" spans="1:1">
      <c r="A111" s="209"/>
    </row>
    <row r="112" spans="1:4">
      <c r="A112" s="130" t="s">
        <v>152</v>
      </c>
      <c r="B112" s="131"/>
      <c r="C112" s="131"/>
      <c r="D112" s="131"/>
    </row>
    <row r="113" spans="1:4">
      <c r="A113" s="152" t="s">
        <v>153</v>
      </c>
      <c r="B113" s="173" t="s">
        <v>154</v>
      </c>
      <c r="C113" s="152" t="s">
        <v>18</v>
      </c>
      <c r="D113" s="152" t="s">
        <v>19</v>
      </c>
    </row>
    <row r="114" spans="1:4">
      <c r="A114" s="152" t="s">
        <v>42</v>
      </c>
      <c r="B114" t="s">
        <v>218</v>
      </c>
      <c r="D114" s="189">
        <f>'Uniformes e EPI'!G84</f>
        <v>112.36</v>
      </c>
    </row>
    <row r="115" spans="1:4">
      <c r="A115" s="152" t="s">
        <v>45</v>
      </c>
      <c r="B115" t="s">
        <v>219</v>
      </c>
      <c r="D115" s="189">
        <f>EPC!E21</f>
        <v>12.16</v>
      </c>
    </row>
    <row r="116" spans="1:4">
      <c r="A116" s="152" t="s">
        <v>48</v>
      </c>
      <c r="B116" t="s">
        <v>156</v>
      </c>
      <c r="D116" s="189">
        <f>'Equipamentos e Materiais'!E113</f>
        <v>161.05</v>
      </c>
    </row>
    <row r="117" spans="1:4">
      <c r="A117" s="152" t="s">
        <v>50</v>
      </c>
      <c r="B117" t="s">
        <v>157</v>
      </c>
      <c r="D117" s="189">
        <f>'Equipamentos e Materiais'!F144</f>
        <v>29.49</v>
      </c>
    </row>
    <row r="118" spans="1:4">
      <c r="A118" s="152" t="s">
        <v>53</v>
      </c>
      <c r="B118" t="s">
        <v>220</v>
      </c>
      <c r="C118" s="153"/>
      <c r="D118" s="218">
        <f>H117</f>
        <v>0</v>
      </c>
    </row>
    <row r="119" spans="1:4">
      <c r="A119" s="152" t="s">
        <v>58</v>
      </c>
      <c r="D119" s="190">
        <f>TRUNC(SUM(D114:D118),2)</f>
        <v>315.06</v>
      </c>
    </row>
    <row r="120" ht="15.75" spans="1:1">
      <c r="A120" s="209"/>
    </row>
    <row r="121" ht="16.5" spans="1:4">
      <c r="A121" s="161" t="s">
        <v>221</v>
      </c>
      <c r="B121" s="161"/>
      <c r="C121" s="166" t="s">
        <v>202</v>
      </c>
      <c r="D121" s="167">
        <f>D31</f>
        <v>1716.86</v>
      </c>
    </row>
    <row r="122" ht="16.5" spans="1:4">
      <c r="A122" s="161"/>
      <c r="B122" s="161"/>
      <c r="C122" s="168" t="s">
        <v>212</v>
      </c>
      <c r="D122" s="167">
        <f>D73</f>
        <v>1718.75</v>
      </c>
    </row>
    <row r="123" ht="16.5" spans="1:4">
      <c r="A123" s="161"/>
      <c r="B123" s="161"/>
      <c r="C123" s="166" t="s">
        <v>213</v>
      </c>
      <c r="D123" s="167">
        <f>D83</f>
        <v>103.73</v>
      </c>
    </row>
    <row r="124" ht="16.5" spans="1:4">
      <c r="A124" s="161"/>
      <c r="B124" s="161"/>
      <c r="C124" s="168" t="s">
        <v>222</v>
      </c>
      <c r="D124" s="167">
        <f>D110</f>
        <v>119.27</v>
      </c>
    </row>
    <row r="125" ht="16.5" spans="1:4">
      <c r="A125" s="161"/>
      <c r="B125" s="161"/>
      <c r="C125" s="166" t="s">
        <v>223</v>
      </c>
      <c r="D125" s="167">
        <f>D119</f>
        <v>315.06</v>
      </c>
    </row>
    <row r="126" ht="16.5" spans="1:4">
      <c r="A126" s="161"/>
      <c r="B126" s="161"/>
      <c r="C126" s="168" t="s">
        <v>204</v>
      </c>
      <c r="D126" s="169">
        <f>TRUNC((SUM(D121:D125)),2)</f>
        <v>3973.67</v>
      </c>
    </row>
    <row r="127" ht="15.75" spans="1:1">
      <c r="A127" s="209"/>
    </row>
    <row r="128" spans="1:4">
      <c r="A128" s="130" t="s">
        <v>164</v>
      </c>
      <c r="B128" s="131"/>
      <c r="C128" s="131"/>
      <c r="D128" s="131"/>
    </row>
    <row r="129" ht="15.75" spans="1:7">
      <c r="A129" s="152" t="s">
        <v>165</v>
      </c>
      <c r="B129" t="s">
        <v>166</v>
      </c>
      <c r="C129" s="153" t="s">
        <v>38</v>
      </c>
      <c r="D129" s="153" t="s">
        <v>19</v>
      </c>
      <c r="F129" s="191" t="s">
        <v>224</v>
      </c>
      <c r="G129" s="191"/>
    </row>
    <row r="130" ht="15.75" spans="1:7">
      <c r="A130" s="152" t="s">
        <v>42</v>
      </c>
      <c r="B130" t="s">
        <v>167</v>
      </c>
      <c r="C130" s="192">
        <v>0.05</v>
      </c>
      <c r="D130" s="155">
        <f>TRUNC(($D$126*C130),2)</f>
        <v>198.68</v>
      </c>
      <c r="F130" s="193" t="s">
        <v>225</v>
      </c>
      <c r="G130" s="178">
        <f>C132</f>
        <v>0.0865</v>
      </c>
    </row>
    <row r="131" ht="15.75" spans="1:7">
      <c r="A131" s="152" t="s">
        <v>45</v>
      </c>
      <c r="B131" t="s">
        <v>59</v>
      </c>
      <c r="C131" s="192">
        <v>0.0462</v>
      </c>
      <c r="D131" s="155">
        <f>TRUNC((C131*(D126+D130)),2)</f>
        <v>192.76</v>
      </c>
      <c r="F131" s="194" t="s">
        <v>226</v>
      </c>
      <c r="G131" s="195">
        <f>TRUNC(SUM(D126,D130,D131),2)</f>
        <v>4365.11</v>
      </c>
    </row>
    <row r="132" ht="15.75" spans="1:7">
      <c r="A132" s="152" t="s">
        <v>48</v>
      </c>
      <c r="B132" t="s">
        <v>168</v>
      </c>
      <c r="C132" s="192">
        <f>SUM(C133:C135)</f>
        <v>0.0865</v>
      </c>
      <c r="D132" s="155">
        <f>TRUNC((SUM(D133:D135)),2)</f>
        <v>413.32</v>
      </c>
      <c r="F132" s="193" t="s">
        <v>227</v>
      </c>
      <c r="G132" s="196">
        <f>(100-8.65)/100</f>
        <v>0.9135</v>
      </c>
    </row>
    <row r="133" ht="15.75" spans="1:7">
      <c r="A133" s="152"/>
      <c r="B133" t="s">
        <v>228</v>
      </c>
      <c r="C133" s="171">
        <v>0.0065</v>
      </c>
      <c r="D133" s="155">
        <f t="shared" ref="D133:D135" si="3">TRUNC(($G$133*C133),2)</f>
        <v>31.05</v>
      </c>
      <c r="F133" s="194" t="s">
        <v>224</v>
      </c>
      <c r="G133" s="195">
        <f>TRUNC((G131/G132),2)</f>
        <v>4778.44</v>
      </c>
    </row>
    <row r="134" ht="15.75" spans="1:4">
      <c r="A134" s="152"/>
      <c r="B134" t="s">
        <v>229</v>
      </c>
      <c r="C134" s="171">
        <v>0.03</v>
      </c>
      <c r="D134" s="155">
        <f t="shared" si="3"/>
        <v>143.35</v>
      </c>
    </row>
    <row r="135" spans="1:4">
      <c r="A135" s="152"/>
      <c r="B135" t="s">
        <v>230</v>
      </c>
      <c r="C135" s="171">
        <v>0.05</v>
      </c>
      <c r="D135" s="155">
        <f t="shared" si="3"/>
        <v>238.92</v>
      </c>
    </row>
    <row r="136" spans="1:4">
      <c r="A136" s="152" t="s">
        <v>58</v>
      </c>
      <c r="B136" s="208"/>
      <c r="C136" s="197"/>
      <c r="D136" s="160">
        <f>TRUNC(SUM(D130:D132),2)</f>
        <v>804.76</v>
      </c>
    </row>
    <row r="137" spans="1:4">
      <c r="A137" s="152"/>
      <c r="C137" s="197"/>
      <c r="D137" s="160"/>
    </row>
    <row r="138" spans="1:1">
      <c r="A138" s="209"/>
    </row>
    <row r="139" spans="1:4">
      <c r="A139" s="130" t="s">
        <v>172</v>
      </c>
      <c r="B139" s="131"/>
      <c r="C139" s="131"/>
      <c r="D139" s="131"/>
    </row>
    <row r="140" spans="1:4">
      <c r="A140" s="152" t="s">
        <v>16</v>
      </c>
      <c r="B140" s="153" t="s">
        <v>173</v>
      </c>
      <c r="C140" s="153" t="s">
        <v>102</v>
      </c>
      <c r="D140" s="153" t="s">
        <v>19</v>
      </c>
    </row>
    <row r="141" spans="1:4">
      <c r="A141" s="152" t="s">
        <v>42</v>
      </c>
      <c r="B141" t="s">
        <v>36</v>
      </c>
      <c r="D141" s="160">
        <f>D31</f>
        <v>1716.86</v>
      </c>
    </row>
    <row r="142" spans="1:4">
      <c r="A142" s="152" t="s">
        <v>45</v>
      </c>
      <c r="B142" t="s">
        <v>61</v>
      </c>
      <c r="D142" s="160">
        <f>D73</f>
        <v>1718.75</v>
      </c>
    </row>
    <row r="143" spans="1:4">
      <c r="A143" s="152" t="s">
        <v>48</v>
      </c>
      <c r="B143" t="s">
        <v>108</v>
      </c>
      <c r="D143" s="160">
        <f>D83</f>
        <v>103.73</v>
      </c>
    </row>
    <row r="144" spans="1:4">
      <c r="A144" s="152" t="s">
        <v>50</v>
      </c>
      <c r="B144" t="s">
        <v>174</v>
      </c>
      <c r="D144" s="160">
        <f>D110</f>
        <v>119.27</v>
      </c>
    </row>
    <row r="145" spans="1:4">
      <c r="A145" s="152" t="s">
        <v>53</v>
      </c>
      <c r="B145" t="s">
        <v>152</v>
      </c>
      <c r="D145" s="160">
        <f>D119</f>
        <v>315.06</v>
      </c>
    </row>
    <row r="146" spans="1:4">
      <c r="A146" s="209"/>
      <c r="B146" s="198" t="s">
        <v>231</v>
      </c>
      <c r="D146" s="160">
        <f>TRUNC(SUM(D141:D145),2)</f>
        <v>3973.67</v>
      </c>
    </row>
    <row r="147" spans="1:4">
      <c r="A147" s="152" t="s">
        <v>55</v>
      </c>
      <c r="B147" t="s">
        <v>164</v>
      </c>
      <c r="D147" s="160">
        <f>D136</f>
        <v>804.76</v>
      </c>
    </row>
    <row r="148" spans="1:4">
      <c r="A148" s="219"/>
      <c r="B148" s="200" t="s">
        <v>232</v>
      </c>
      <c r="C148" s="201"/>
      <c r="D148" s="202">
        <f>TRUNC((SUM(D141:D145)+D147),2)</f>
        <v>4778.43</v>
      </c>
    </row>
    <row r="149" spans="1:1">
      <c r="A149" s="209"/>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A128:D128"/>
    <mergeCell ref="F129:G129"/>
    <mergeCell ref="A139:D139"/>
    <mergeCell ref="A41:B43"/>
    <mergeCell ref="A85:B88"/>
    <mergeCell ref="A121:B126"/>
  </mergeCells>
  <pageMargins left="0.75" right="0.75" top="1" bottom="1" header="0.5" footer="0.5"/>
  <pageSetup paperSize="9" scale="90"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topLeftCell="A120" workbookViewId="0">
      <selection activeCell="F14" sqref="F14"/>
    </sheetView>
  </sheetViews>
  <sheetFormatPr defaultColWidth="9.14285714285714" defaultRowHeight="15" outlineLevelCol="6"/>
  <cols>
    <col min="1" max="1" width="10.5714285714286" style="106" customWidth="1"/>
    <col min="2" max="2" width="54" customWidth="1"/>
    <col min="3" max="3" width="28.7142857142857" customWidth="1"/>
    <col min="4" max="4" width="36.5714285714286" customWidth="1"/>
    <col min="6" max="6" width="22.8571428571429" customWidth="1"/>
    <col min="7" max="7" width="12.8571428571429" customWidth="1"/>
    <col min="8" max="8" width="10" customWidth="1"/>
    <col min="9" max="9" width="11.4285714285714" customWidth="1"/>
  </cols>
  <sheetData>
    <row r="2" ht="19.5" spans="1:4">
      <c r="A2" s="121" t="s">
        <v>177</v>
      </c>
      <c r="B2" s="122"/>
      <c r="C2" s="122"/>
      <c r="D2" s="122"/>
    </row>
    <row r="3" ht="15.75" spans="1:4">
      <c r="A3" s="123" t="s">
        <v>178</v>
      </c>
      <c r="B3" s="124"/>
      <c r="C3" s="124"/>
      <c r="D3" s="124"/>
    </row>
    <row r="4" spans="1:4">
      <c r="A4" s="125" t="s">
        <v>179</v>
      </c>
      <c r="B4" s="126" t="s">
        <v>180</v>
      </c>
      <c r="C4" s="127"/>
      <c r="D4" s="127"/>
    </row>
    <row r="5" spans="1:4">
      <c r="A5" s="128"/>
      <c r="B5" s="129"/>
      <c r="C5" s="129"/>
      <c r="D5" s="129"/>
    </row>
    <row r="6" ht="15.75" spans="1:4">
      <c r="A6" s="130" t="s">
        <v>181</v>
      </c>
      <c r="B6" s="131"/>
      <c r="C6" s="131"/>
      <c r="D6" s="131"/>
    </row>
    <row r="7" ht="15.75" spans="1:4">
      <c r="A7" s="132" t="s">
        <v>42</v>
      </c>
      <c r="B7" s="133" t="s">
        <v>182</v>
      </c>
      <c r="C7" s="134" t="s">
        <v>183</v>
      </c>
      <c r="D7" s="134"/>
    </row>
    <row r="8" spans="1:4">
      <c r="A8" s="135" t="s">
        <v>45</v>
      </c>
      <c r="B8" s="136" t="s">
        <v>184</v>
      </c>
      <c r="C8" s="137" t="s">
        <v>185</v>
      </c>
      <c r="D8" s="137"/>
    </row>
    <row r="9" spans="1:4">
      <c r="A9" s="138" t="s">
        <v>48</v>
      </c>
      <c r="B9" s="139" t="s">
        <v>186</v>
      </c>
      <c r="C9" s="137" t="s">
        <v>187</v>
      </c>
      <c r="D9" s="137"/>
    </row>
    <row r="10" spans="1:4">
      <c r="A10" s="135" t="s">
        <v>53</v>
      </c>
      <c r="B10" s="136" t="s">
        <v>188</v>
      </c>
      <c r="C10" s="137" t="s">
        <v>189</v>
      </c>
      <c r="D10" s="137"/>
    </row>
    <row r="11" ht="15.75" spans="1:4">
      <c r="A11" s="140" t="s">
        <v>190</v>
      </c>
      <c r="B11" s="141"/>
      <c r="C11" s="141"/>
      <c r="D11" s="141"/>
    </row>
    <row r="12" ht="16.5" spans="1:4">
      <c r="A12" s="142" t="s">
        <v>191</v>
      </c>
      <c r="B12" s="143"/>
      <c r="C12" s="141" t="s">
        <v>192</v>
      </c>
      <c r="D12" s="144" t="s">
        <v>193</v>
      </c>
    </row>
    <row r="13" ht="15.75" spans="1:4">
      <c r="A13" s="145" t="s">
        <v>240</v>
      </c>
      <c r="B13" s="146"/>
      <c r="C13" s="137" t="s">
        <v>195</v>
      </c>
      <c r="D13" s="147">
        <f>RESUMO!D7</f>
        <v>2</v>
      </c>
    </row>
    <row r="14" spans="1:4">
      <c r="A14" s="148"/>
      <c r="B14" s="149"/>
      <c r="C14" s="137"/>
      <c r="D14" s="150"/>
    </row>
    <row r="15" ht="15.75" spans="1:7">
      <c r="A15" s="140" t="s">
        <v>14</v>
      </c>
      <c r="B15" s="141"/>
      <c r="C15" s="141"/>
      <c r="D15" s="141"/>
      <c r="F15" s="151"/>
      <c r="G15" s="151"/>
    </row>
    <row r="16" ht="15.75" spans="1:4">
      <c r="A16" s="152" t="s">
        <v>16</v>
      </c>
      <c r="B16" t="s">
        <v>17</v>
      </c>
      <c r="C16" s="153" t="s">
        <v>18</v>
      </c>
      <c r="D16" s="153" t="s">
        <v>19</v>
      </c>
    </row>
    <row r="17" spans="1:4">
      <c r="A17" s="152">
        <v>1</v>
      </c>
      <c r="B17" t="s">
        <v>20</v>
      </c>
      <c r="C17" s="154" t="s">
        <v>102</v>
      </c>
      <c r="D17" s="154" t="str">
        <f>A13</f>
        <v>Técnico Mecânico em Refrigeração</v>
      </c>
    </row>
    <row r="18" spans="1:4">
      <c r="A18" s="152">
        <v>2</v>
      </c>
      <c r="B18" t="s">
        <v>23</v>
      </c>
      <c r="C18" s="154" t="s">
        <v>196</v>
      </c>
      <c r="D18" s="154" t="s">
        <v>241</v>
      </c>
    </row>
    <row r="19" spans="1:4">
      <c r="A19" s="152">
        <v>3</v>
      </c>
      <c r="B19" t="s">
        <v>26</v>
      </c>
      <c r="C19" s="154" t="str">
        <f>C9</f>
        <v>CCT PB000071/2023</v>
      </c>
      <c r="D19" s="155">
        <v>1716.86</v>
      </c>
    </row>
    <row r="20" spans="1:4">
      <c r="A20" s="152">
        <v>4</v>
      </c>
      <c r="B20" t="s">
        <v>29</v>
      </c>
      <c r="C20" s="154" t="str">
        <f>C9</f>
        <v>CCT PB000071/2023</v>
      </c>
      <c r="D20" s="156" t="s">
        <v>198</v>
      </c>
    </row>
    <row r="21" spans="1:4">
      <c r="A21" s="152">
        <v>5</v>
      </c>
      <c r="B21" t="s">
        <v>33</v>
      </c>
      <c r="C21" s="154" t="str">
        <f>C9</f>
        <v>CCT PB000071/2023</v>
      </c>
      <c r="D21" s="157" t="s">
        <v>199</v>
      </c>
    </row>
    <row r="22" spans="6:7">
      <c r="F22" s="151"/>
      <c r="G22" s="151"/>
    </row>
    <row r="23" spans="1:4">
      <c r="A23" s="130" t="s">
        <v>36</v>
      </c>
      <c r="B23" s="131"/>
      <c r="C23" s="131"/>
      <c r="D23" s="131"/>
    </row>
    <row r="24" spans="1:7">
      <c r="A24" s="152" t="s">
        <v>39</v>
      </c>
      <c r="B24" s="158" t="s">
        <v>40</v>
      </c>
      <c r="C24" s="153" t="s">
        <v>18</v>
      </c>
      <c r="D24" s="153" t="s">
        <v>19</v>
      </c>
      <c r="G24" s="159"/>
    </row>
    <row r="25" spans="1:7">
      <c r="A25" s="152" t="s">
        <v>42</v>
      </c>
      <c r="B25" t="s">
        <v>43</v>
      </c>
      <c r="C25" s="156" t="s">
        <v>200</v>
      </c>
      <c r="D25" s="155">
        <f>D19</f>
        <v>1716.86</v>
      </c>
      <c r="G25" s="159"/>
    </row>
    <row r="26" spans="1:7">
      <c r="A26" s="152" t="s">
        <v>45</v>
      </c>
      <c r="B26" t="s">
        <v>46</v>
      </c>
      <c r="C26" s="156" t="s">
        <v>242</v>
      </c>
      <c r="D26" s="155">
        <f>TRUNC((D25*30%),2)</f>
        <v>515.05</v>
      </c>
      <c r="G26" s="159"/>
    </row>
    <row r="27" spans="1:4">
      <c r="A27" s="152" t="s">
        <v>48</v>
      </c>
      <c r="B27" t="s">
        <v>49</v>
      </c>
      <c r="C27" s="156"/>
      <c r="D27" s="155">
        <v>0</v>
      </c>
    </row>
    <row r="28" spans="1:4">
      <c r="A28" s="152" t="s">
        <v>50</v>
      </c>
      <c r="B28" t="s">
        <v>51</v>
      </c>
      <c r="C28" s="156"/>
      <c r="D28" s="155">
        <v>0</v>
      </c>
    </row>
    <row r="29" spans="1:4">
      <c r="A29" s="152" t="s">
        <v>53</v>
      </c>
      <c r="B29" t="s">
        <v>54</v>
      </c>
      <c r="C29" s="156"/>
      <c r="D29" s="155">
        <v>0</v>
      </c>
    </row>
    <row r="30" spans="1:4">
      <c r="A30" s="152" t="s">
        <v>55</v>
      </c>
      <c r="B30" t="s">
        <v>56</v>
      </c>
      <c r="C30" s="156"/>
      <c r="D30" s="155">
        <v>0</v>
      </c>
    </row>
    <row r="31" spans="1:7">
      <c r="A31" s="152" t="s">
        <v>58</v>
      </c>
      <c r="C31" s="153"/>
      <c r="D31" s="160">
        <f>TRUNC((SUM(D25:D30)),2)</f>
        <v>2231.91</v>
      </c>
      <c r="F31" s="151"/>
      <c r="G31" s="151"/>
    </row>
    <row r="33" spans="1:7">
      <c r="A33" s="161" t="s">
        <v>61</v>
      </c>
      <c r="B33" s="162"/>
      <c r="C33" s="162"/>
      <c r="D33" s="162"/>
      <c r="G33" s="159"/>
    </row>
    <row r="35" spans="1:4">
      <c r="A35" s="163" t="s">
        <v>63</v>
      </c>
      <c r="B35" s="151"/>
      <c r="C35" s="151"/>
      <c r="D35" s="151"/>
    </row>
    <row r="36" spans="1:4">
      <c r="A36" s="152" t="s">
        <v>65</v>
      </c>
      <c r="B36" s="158" t="s">
        <v>66</v>
      </c>
      <c r="C36" s="153" t="s">
        <v>38</v>
      </c>
      <c r="D36" s="153" t="s">
        <v>19</v>
      </c>
    </row>
    <row r="37" spans="1:7">
      <c r="A37" s="152" t="s">
        <v>42</v>
      </c>
      <c r="B37" t="s">
        <v>67</v>
      </c>
      <c r="C37" s="164">
        <f>(1/12)</f>
        <v>0.0833333333333333</v>
      </c>
      <c r="D37" s="160">
        <f>TRUNC($D$31*C37,2)</f>
        <v>185.99</v>
      </c>
      <c r="F37" s="165"/>
      <c r="G37" s="165"/>
    </row>
    <row r="38" spans="1:7">
      <c r="A38" s="152" t="s">
        <v>45</v>
      </c>
      <c r="B38" t="s">
        <v>68</v>
      </c>
      <c r="C38" s="164">
        <f>(((1+1/3)/12))</f>
        <v>0.111111111111111</v>
      </c>
      <c r="D38" s="160">
        <f>TRUNC($D$31*C38,2)</f>
        <v>247.99</v>
      </c>
      <c r="F38" s="165"/>
      <c r="G38" s="165"/>
    </row>
    <row r="39" spans="1:7">
      <c r="A39" s="152" t="s">
        <v>58</v>
      </c>
      <c r="D39" s="160">
        <f>TRUNC((SUM(D37:D38)),2)</f>
        <v>433.98</v>
      </c>
      <c r="F39" s="165"/>
      <c r="G39" s="165"/>
    </row>
    <row r="40" ht="15.75" spans="4:7">
      <c r="D40" s="160"/>
      <c r="F40" s="165"/>
      <c r="G40" s="165"/>
    </row>
    <row r="41" ht="16.5" spans="1:7">
      <c r="A41" s="161" t="s">
        <v>201</v>
      </c>
      <c r="B41" s="161"/>
      <c r="C41" s="166" t="s">
        <v>202</v>
      </c>
      <c r="D41" s="167">
        <f>D31</f>
        <v>2231.91</v>
      </c>
      <c r="F41" s="165"/>
      <c r="G41" s="165"/>
    </row>
    <row r="42" ht="16.5" spans="1:7">
      <c r="A42" s="161"/>
      <c r="B42" s="161"/>
      <c r="C42" s="168" t="s">
        <v>203</v>
      </c>
      <c r="D42" s="167">
        <f>D39</f>
        <v>433.98</v>
      </c>
      <c r="F42" s="165"/>
      <c r="G42" s="165"/>
    </row>
    <row r="43" ht="16.5" spans="1:7">
      <c r="A43" s="161"/>
      <c r="B43" s="161"/>
      <c r="C43" s="166" t="s">
        <v>204</v>
      </c>
      <c r="D43" s="169">
        <f>TRUNC((SUM(D41:D42)),2)</f>
        <v>2665.89</v>
      </c>
      <c r="F43" s="165"/>
      <c r="G43" s="165"/>
    </row>
    <row r="44" ht="15.75" spans="1:7">
      <c r="A44" s="152"/>
      <c r="C44" s="170"/>
      <c r="D44" s="160"/>
      <c r="F44" s="165"/>
      <c r="G44" s="165"/>
    </row>
    <row r="45" spans="1:4">
      <c r="A45" s="163" t="s">
        <v>77</v>
      </c>
      <c r="B45" s="151"/>
      <c r="C45" s="151"/>
      <c r="D45" s="151"/>
    </row>
    <row r="46" spans="1:4">
      <c r="A46" s="152" t="s">
        <v>78</v>
      </c>
      <c r="B46" s="158" t="s">
        <v>79</v>
      </c>
      <c r="C46" s="153" t="s">
        <v>38</v>
      </c>
      <c r="D46" s="153" t="s">
        <v>80</v>
      </c>
    </row>
    <row r="47" spans="1:4">
      <c r="A47" s="152" t="s">
        <v>42</v>
      </c>
      <c r="B47" t="s">
        <v>81</v>
      </c>
      <c r="C47" s="164">
        <v>0.2</v>
      </c>
      <c r="D47" s="160">
        <f t="shared" ref="D47:D54" si="0">TRUNC(($D$43*C47),2)</f>
        <v>533.17</v>
      </c>
    </row>
    <row r="48" spans="1:4">
      <c r="A48" s="152" t="s">
        <v>45</v>
      </c>
      <c r="B48" t="s">
        <v>82</v>
      </c>
      <c r="C48" s="164">
        <v>0.025</v>
      </c>
      <c r="D48" s="160">
        <f t="shared" si="0"/>
        <v>66.64</v>
      </c>
    </row>
    <row r="49" spans="1:4">
      <c r="A49" s="152" t="s">
        <v>48</v>
      </c>
      <c r="B49" t="s">
        <v>205</v>
      </c>
      <c r="C49" s="171">
        <v>0.06</v>
      </c>
      <c r="D49" s="155">
        <f t="shared" si="0"/>
        <v>159.95</v>
      </c>
    </row>
    <row r="50" spans="1:4">
      <c r="A50" s="152" t="s">
        <v>50</v>
      </c>
      <c r="B50" t="s">
        <v>84</v>
      </c>
      <c r="C50" s="164">
        <v>0.015</v>
      </c>
      <c r="D50" s="160">
        <f t="shared" si="0"/>
        <v>39.98</v>
      </c>
    </row>
    <row r="51" spans="1:4">
      <c r="A51" s="152" t="s">
        <v>53</v>
      </c>
      <c r="B51" t="s">
        <v>85</v>
      </c>
      <c r="C51" s="164">
        <v>0.01</v>
      </c>
      <c r="D51" s="160">
        <f t="shared" si="0"/>
        <v>26.65</v>
      </c>
    </row>
    <row r="52" spans="1:4">
      <c r="A52" s="152" t="s">
        <v>55</v>
      </c>
      <c r="B52" t="s">
        <v>86</v>
      </c>
      <c r="C52" s="164">
        <v>0.006</v>
      </c>
      <c r="D52" s="160">
        <f t="shared" si="0"/>
        <v>15.99</v>
      </c>
    </row>
    <row r="53" spans="1:4">
      <c r="A53" s="152" t="s">
        <v>87</v>
      </c>
      <c r="B53" t="s">
        <v>88</v>
      </c>
      <c r="C53" s="164">
        <v>0.002</v>
      </c>
      <c r="D53" s="160">
        <f t="shared" si="0"/>
        <v>5.33</v>
      </c>
    </row>
    <row r="54" spans="1:4">
      <c r="A54" s="152" t="s">
        <v>89</v>
      </c>
      <c r="B54" t="s">
        <v>90</v>
      </c>
      <c r="C54" s="164">
        <v>0.08</v>
      </c>
      <c r="D54" s="160">
        <f t="shared" si="0"/>
        <v>213.27</v>
      </c>
    </row>
    <row r="55" spans="1:4">
      <c r="A55" s="152" t="s">
        <v>58</v>
      </c>
      <c r="C55" s="170">
        <f>SUM(C47:C54)</f>
        <v>0.398</v>
      </c>
      <c r="D55" s="160">
        <f>TRUNC((SUM(D47:D54)),2)</f>
        <v>1060.98</v>
      </c>
    </row>
    <row r="56" spans="1:4">
      <c r="A56" s="152"/>
      <c r="C56" s="170"/>
      <c r="D56" s="160"/>
    </row>
    <row r="57" spans="1:4">
      <c r="A57" s="163" t="s">
        <v>95</v>
      </c>
      <c r="B57" s="151"/>
      <c r="C57" s="151"/>
      <c r="D57" s="151"/>
    </row>
    <row r="58" spans="1:4">
      <c r="A58" s="152" t="s">
        <v>96</v>
      </c>
      <c r="B58" s="158" t="s">
        <v>97</v>
      </c>
      <c r="C58" s="153" t="s">
        <v>18</v>
      </c>
      <c r="D58" s="153" t="s">
        <v>19</v>
      </c>
    </row>
    <row r="59" spans="1:4">
      <c r="A59" s="152" t="s">
        <v>42</v>
      </c>
      <c r="B59" t="s">
        <v>98</v>
      </c>
      <c r="C59" s="154"/>
      <c r="D59" s="172">
        <f>TRUNC(((22*4.7)*2)-((D25/100)*6),2)</f>
        <v>103.78</v>
      </c>
    </row>
    <row r="60" spans="1:4">
      <c r="A60" s="152" t="s">
        <v>45</v>
      </c>
      <c r="B60" t="s">
        <v>99</v>
      </c>
      <c r="C60" s="154" t="str">
        <f>C9</f>
        <v>CCT PB000071/2023</v>
      </c>
      <c r="D60" s="155">
        <f>TRUNC((((500))-(((500))*0.2)),2)</f>
        <v>400</v>
      </c>
    </row>
    <row r="61" spans="1:4">
      <c r="A61" s="152" t="s">
        <v>48</v>
      </c>
      <c r="B61" t="s">
        <v>100</v>
      </c>
      <c r="C61" s="154"/>
      <c r="D61" s="155">
        <v>0</v>
      </c>
    </row>
    <row r="62" spans="1:6">
      <c r="A62" s="152" t="s">
        <v>50</v>
      </c>
      <c r="B62" s="173" t="s">
        <v>206</v>
      </c>
      <c r="C62" s="174"/>
      <c r="D62" s="174">
        <v>0</v>
      </c>
      <c r="F62" s="173"/>
    </row>
    <row r="63" spans="1:4">
      <c r="A63" s="152" t="s">
        <v>53</v>
      </c>
      <c r="B63" s="158" t="s">
        <v>207</v>
      </c>
      <c r="C63" s="154" t="str">
        <f>C60</f>
        <v>CCT PB000071/2023</v>
      </c>
      <c r="D63" s="155">
        <v>20</v>
      </c>
    </row>
    <row r="64" spans="1:4">
      <c r="A64" s="152" t="s">
        <v>55</v>
      </c>
      <c r="B64" s="175" t="s">
        <v>208</v>
      </c>
      <c r="C64" s="154" t="str">
        <f>C9</f>
        <v>CCT PB000071/2023</v>
      </c>
      <c r="D64" s="155">
        <v>5</v>
      </c>
    </row>
    <row r="65" spans="1:4">
      <c r="A65" s="152" t="s">
        <v>87</v>
      </c>
      <c r="B65" s="175" t="s">
        <v>209</v>
      </c>
      <c r="C65" s="174" t="str">
        <f>C60</f>
        <v>CCT PB000071/2023</v>
      </c>
      <c r="D65" s="155">
        <v>40</v>
      </c>
    </row>
    <row r="66" spans="1:4">
      <c r="A66" s="152" t="s">
        <v>58</v>
      </c>
      <c r="D66" s="160">
        <f>TRUNC((SUM(D59:D65)),2)</f>
        <v>568.78</v>
      </c>
    </row>
    <row r="67" spans="1:4">
      <c r="A67" s="152"/>
      <c r="D67" s="160"/>
    </row>
    <row r="68" spans="1:4">
      <c r="A68" s="163" t="s">
        <v>105</v>
      </c>
      <c r="B68" s="151"/>
      <c r="C68" s="151"/>
      <c r="D68" s="151"/>
    </row>
    <row r="69" spans="1:4">
      <c r="A69" s="152" t="s">
        <v>106</v>
      </c>
      <c r="B69" s="158" t="s">
        <v>107</v>
      </c>
      <c r="C69" s="153" t="s">
        <v>18</v>
      </c>
      <c r="D69" s="153" t="s">
        <v>19</v>
      </c>
    </row>
    <row r="70" spans="1:4">
      <c r="A70" s="152" t="s">
        <v>65</v>
      </c>
      <c r="B70" t="s">
        <v>66</v>
      </c>
      <c r="C70" s="153"/>
      <c r="D70" s="160">
        <f>D39</f>
        <v>433.98</v>
      </c>
    </row>
    <row r="71" spans="1:4">
      <c r="A71" s="152" t="s">
        <v>78</v>
      </c>
      <c r="B71" t="s">
        <v>79</v>
      </c>
      <c r="C71" s="153"/>
      <c r="D71" s="160">
        <f>D55</f>
        <v>1060.98</v>
      </c>
    </row>
    <row r="72" spans="1:4">
      <c r="A72" s="152" t="s">
        <v>96</v>
      </c>
      <c r="B72" t="s">
        <v>97</v>
      </c>
      <c r="C72" s="153"/>
      <c r="D72" s="160">
        <f>D66</f>
        <v>568.78</v>
      </c>
    </row>
    <row r="73" spans="1:4">
      <c r="A73" s="152" t="s">
        <v>58</v>
      </c>
      <c r="C73" s="153"/>
      <c r="D73" s="160">
        <f>TRUNC((SUM(D70:D72)),2)</f>
        <v>2063.74</v>
      </c>
    </row>
    <row r="75" spans="1:4">
      <c r="A75" s="130" t="s">
        <v>108</v>
      </c>
      <c r="B75" s="131"/>
      <c r="C75" s="131"/>
      <c r="D75" s="131"/>
    </row>
    <row r="76" spans="1:4">
      <c r="A76" s="152" t="s">
        <v>109</v>
      </c>
      <c r="B76" s="205" t="s">
        <v>110</v>
      </c>
      <c r="C76" s="153" t="s">
        <v>38</v>
      </c>
      <c r="D76" s="153" t="s">
        <v>19</v>
      </c>
    </row>
    <row r="77" spans="1:4">
      <c r="A77" s="152" t="s">
        <v>42</v>
      </c>
      <c r="B77" s="206" t="s">
        <v>111</v>
      </c>
      <c r="C77" s="171">
        <f>((1/12)*2%)</f>
        <v>0.00166666666666667</v>
      </c>
      <c r="D77" s="155">
        <f t="shared" ref="D77:D80" si="1">TRUNC(($D$31*C77),2)</f>
        <v>3.71</v>
      </c>
    </row>
    <row r="78" spans="1:4">
      <c r="A78" s="152" t="s">
        <v>45</v>
      </c>
      <c r="B78" s="206" t="s">
        <v>112</v>
      </c>
      <c r="C78" s="176">
        <v>0.08</v>
      </c>
      <c r="D78" s="160">
        <f>TRUNC(($D$77*C78),2)</f>
        <v>0.29</v>
      </c>
    </row>
    <row r="79" ht="30" spans="1:4">
      <c r="A79" s="152" t="s">
        <v>48</v>
      </c>
      <c r="B79" s="207" t="s">
        <v>113</v>
      </c>
      <c r="C79" s="178">
        <f>(0.08*0.4*0.02)</f>
        <v>0.00064</v>
      </c>
      <c r="D79" s="174">
        <f t="shared" si="1"/>
        <v>1.42</v>
      </c>
    </row>
    <row r="80" spans="1:4">
      <c r="A80" s="152" t="s">
        <v>50</v>
      </c>
      <c r="B80" s="206" t="s">
        <v>114</v>
      </c>
      <c r="C80" s="176">
        <f>(((7/30)/12)*0.98)</f>
        <v>0.0190555555555556</v>
      </c>
      <c r="D80" s="160">
        <f t="shared" si="1"/>
        <v>42.53</v>
      </c>
    </row>
    <row r="81" ht="30" spans="1:4">
      <c r="A81" s="152" t="s">
        <v>53</v>
      </c>
      <c r="B81" s="207" t="s">
        <v>210</v>
      </c>
      <c r="C81" s="178">
        <f>C55</f>
        <v>0.398</v>
      </c>
      <c r="D81" s="174">
        <f>TRUNC(($D$80*C81),2)</f>
        <v>16.92</v>
      </c>
    </row>
    <row r="82" ht="30" spans="1:4">
      <c r="A82" s="152" t="s">
        <v>55</v>
      </c>
      <c r="B82" s="207" t="s">
        <v>115</v>
      </c>
      <c r="C82" s="178">
        <f>(0.08*0.4*0.98)</f>
        <v>0.03136</v>
      </c>
      <c r="D82" s="174">
        <f>TRUNC(($D$31*C82),2)</f>
        <v>69.99</v>
      </c>
    </row>
    <row r="83" spans="1:4">
      <c r="A83" s="152" t="s">
        <v>58</v>
      </c>
      <c r="C83" s="176">
        <f>SUM(C77:C82)</f>
        <v>0.530722222222222</v>
      </c>
      <c r="D83" s="160">
        <f>TRUNC((SUM(D77:D82)),2)</f>
        <v>134.86</v>
      </c>
    </row>
    <row r="84" ht="15.75" spans="1:4">
      <c r="A84" s="152"/>
      <c r="D84" s="160"/>
    </row>
    <row r="85" ht="16.5" spans="1:4">
      <c r="A85" s="161" t="s">
        <v>211</v>
      </c>
      <c r="B85" s="161"/>
      <c r="C85" s="166" t="s">
        <v>202</v>
      </c>
      <c r="D85" s="167">
        <f>D31</f>
        <v>2231.91</v>
      </c>
    </row>
    <row r="86" ht="16.5" spans="1:4">
      <c r="A86" s="161"/>
      <c r="B86" s="161"/>
      <c r="C86" s="168" t="s">
        <v>212</v>
      </c>
      <c r="D86" s="167">
        <f>D73</f>
        <v>2063.74</v>
      </c>
    </row>
    <row r="87" ht="16.5" spans="1:4">
      <c r="A87" s="161"/>
      <c r="B87" s="161"/>
      <c r="C87" s="166" t="s">
        <v>213</v>
      </c>
      <c r="D87" s="167">
        <f>D83</f>
        <v>134.86</v>
      </c>
    </row>
    <row r="88" ht="16.5" spans="1:4">
      <c r="A88" s="161"/>
      <c r="B88" s="161"/>
      <c r="C88" s="168" t="s">
        <v>204</v>
      </c>
      <c r="D88" s="169">
        <f>TRUNC((SUM(D85:D87)),2)</f>
        <v>4430.51</v>
      </c>
    </row>
    <row r="89" ht="15.75" spans="1:4">
      <c r="A89" s="152"/>
      <c r="D89" s="160"/>
    </row>
    <row r="90" spans="1:4">
      <c r="A90" s="179" t="s">
        <v>127</v>
      </c>
      <c r="B90" s="180"/>
      <c r="C90" s="180"/>
      <c r="D90" s="180"/>
    </row>
    <row r="91" spans="1:4">
      <c r="A91" s="163" t="s">
        <v>128</v>
      </c>
      <c r="B91" s="151"/>
      <c r="C91" s="151"/>
      <c r="D91" s="151"/>
    </row>
    <row r="92" spans="1:4">
      <c r="A92" s="152" t="s">
        <v>129</v>
      </c>
      <c r="B92" s="158" t="s">
        <v>130</v>
      </c>
      <c r="C92" s="153" t="s">
        <v>38</v>
      </c>
      <c r="D92" s="153" t="s">
        <v>19</v>
      </c>
    </row>
    <row r="93" spans="1:4">
      <c r="A93" s="152" t="s">
        <v>42</v>
      </c>
      <c r="B93" t="s">
        <v>132</v>
      </c>
      <c r="C93" s="176">
        <f>(((1+1/3)/12)/12)+((1/12)/12)</f>
        <v>0.0162037037037037</v>
      </c>
      <c r="D93" s="160">
        <f t="shared" ref="D93:D97" si="2">TRUNC(($D$88*C93),2)</f>
        <v>71.79</v>
      </c>
    </row>
    <row r="94" spans="1:4">
      <c r="A94" s="152" t="s">
        <v>45</v>
      </c>
      <c r="B94" t="s">
        <v>133</v>
      </c>
      <c r="C94" s="171">
        <f>((5/30)/12)</f>
        <v>0.0138888888888889</v>
      </c>
      <c r="D94" s="174">
        <f t="shared" si="2"/>
        <v>61.53</v>
      </c>
    </row>
    <row r="95" spans="1:4">
      <c r="A95" s="152" t="s">
        <v>48</v>
      </c>
      <c r="B95" t="s">
        <v>134</v>
      </c>
      <c r="C95" s="171">
        <f>((5/30)/12)*0.02</f>
        <v>0.000277777777777778</v>
      </c>
      <c r="D95" s="174">
        <f t="shared" si="2"/>
        <v>1.23</v>
      </c>
    </row>
    <row r="96" ht="30" spans="1:4">
      <c r="A96" s="152" t="s">
        <v>50</v>
      </c>
      <c r="B96" s="177" t="s">
        <v>135</v>
      </c>
      <c r="C96" s="178">
        <f>((15/30)/12)*0.08</f>
        <v>0.00333333333333333</v>
      </c>
      <c r="D96" s="174">
        <f t="shared" si="2"/>
        <v>14.76</v>
      </c>
    </row>
    <row r="97" spans="1:4">
      <c r="A97" s="152" t="s">
        <v>53</v>
      </c>
      <c r="B97" t="s">
        <v>136</v>
      </c>
      <c r="C97" s="171">
        <f>((1+1/3)/12)*0.00001*((4/12))</f>
        <v>3.7037037037037e-7</v>
      </c>
      <c r="D97" s="174">
        <f t="shared" si="2"/>
        <v>0</v>
      </c>
    </row>
    <row r="98" spans="1:4">
      <c r="A98" s="152" t="s">
        <v>55</v>
      </c>
      <c r="B98" s="177" t="s">
        <v>214</v>
      </c>
      <c r="C98" s="181">
        <v>0</v>
      </c>
      <c r="D98" s="174">
        <f>TRUNC($D$88*C98)</f>
        <v>0</v>
      </c>
    </row>
    <row r="99" spans="1:4">
      <c r="A99" s="152" t="s">
        <v>58</v>
      </c>
      <c r="C99" s="176">
        <f>SUBTOTAL(109,Submódulo4.159_67[Percentual])</f>
        <v>0.0337040740740741</v>
      </c>
      <c r="D99" s="160">
        <f>TRUNC((SUM(D93:D98)),2)</f>
        <v>149.31</v>
      </c>
    </row>
    <row r="100" spans="1:4">
      <c r="A100" s="152"/>
      <c r="C100" s="153"/>
      <c r="D100" s="160"/>
    </row>
    <row r="101" spans="1:4">
      <c r="A101" s="163" t="s">
        <v>144</v>
      </c>
      <c r="B101" s="151"/>
      <c r="C101" s="151"/>
      <c r="D101" s="151"/>
    </row>
    <row r="102" spans="1:4">
      <c r="A102" s="152" t="s">
        <v>145</v>
      </c>
      <c r="B102" s="158" t="s">
        <v>146</v>
      </c>
      <c r="C102" s="153" t="s">
        <v>18</v>
      </c>
      <c r="D102" s="153" t="s">
        <v>19</v>
      </c>
    </row>
    <row r="103" ht="90" spans="1:4">
      <c r="A103" s="152" t="s">
        <v>42</v>
      </c>
      <c r="B103" s="182" t="s">
        <v>147</v>
      </c>
      <c r="C103" s="183" t="s">
        <v>215</v>
      </c>
      <c r="D103" s="184" t="s">
        <v>216</v>
      </c>
    </row>
    <row r="104" spans="1:4">
      <c r="A104" s="152" t="s">
        <v>58</v>
      </c>
      <c r="C104" s="153"/>
      <c r="D104" s="186" t="str">
        <f>D103</f>
        <v>*=TRUNCAR(($D$86/220)*(1*(365/12))/2)</v>
      </c>
    </row>
    <row r="106" spans="1:4">
      <c r="A106" s="163" t="s">
        <v>148</v>
      </c>
      <c r="B106" s="151"/>
      <c r="C106" s="151"/>
      <c r="D106" s="151"/>
    </row>
    <row r="107" spans="1:4">
      <c r="A107" s="152" t="s">
        <v>149</v>
      </c>
      <c r="B107" s="158" t="s">
        <v>150</v>
      </c>
      <c r="C107" s="153" t="s">
        <v>18</v>
      </c>
      <c r="D107" s="153" t="s">
        <v>19</v>
      </c>
    </row>
    <row r="108" spans="1:4">
      <c r="A108" s="152" t="s">
        <v>129</v>
      </c>
      <c r="B108" t="s">
        <v>130</v>
      </c>
      <c r="D108" s="155">
        <f>D99</f>
        <v>149.31</v>
      </c>
    </row>
    <row r="109" spans="1:4">
      <c r="A109" s="152" t="s">
        <v>145</v>
      </c>
      <c r="B109" t="s">
        <v>151</v>
      </c>
      <c r="C109" s="158"/>
      <c r="D109" s="187" t="str">
        <f>Submódulo4.260_71[[#Totals],[Valor]]</f>
        <v>*=TRUNCAR(($D$86/220)*(1*(365/12))/2)</v>
      </c>
    </row>
    <row r="110" ht="60" spans="1:4">
      <c r="A110" s="152" t="s">
        <v>58</v>
      </c>
      <c r="B110" s="173"/>
      <c r="C110" s="183" t="s">
        <v>217</v>
      </c>
      <c r="D110" s="188">
        <f>TRUNC((SUM(D108:D109)),2)</f>
        <v>149.31</v>
      </c>
    </row>
    <row r="112" spans="1:4">
      <c r="A112" s="130" t="s">
        <v>152</v>
      </c>
      <c r="B112" s="131"/>
      <c r="C112" s="131"/>
      <c r="D112" s="131"/>
    </row>
    <row r="113" spans="1:4">
      <c r="A113" s="152" t="s">
        <v>153</v>
      </c>
      <c r="B113" s="158" t="s">
        <v>154</v>
      </c>
      <c r="C113" s="153" t="s">
        <v>18</v>
      </c>
      <c r="D113" s="153" t="s">
        <v>19</v>
      </c>
    </row>
    <row r="114" spans="1:4">
      <c r="A114" s="152" t="s">
        <v>42</v>
      </c>
      <c r="B114" t="s">
        <v>218</v>
      </c>
      <c r="D114" s="189">
        <f>'Uniformes e EPI'!G105</f>
        <v>109.61</v>
      </c>
    </row>
    <row r="115" spans="1:4">
      <c r="A115" s="152" t="s">
        <v>45</v>
      </c>
      <c r="B115" t="s">
        <v>219</v>
      </c>
      <c r="D115" s="189">
        <f>EPC!E21</f>
        <v>12.16</v>
      </c>
    </row>
    <row r="116" spans="1:4">
      <c r="A116" s="152" t="s">
        <v>48</v>
      </c>
      <c r="B116" t="s">
        <v>156</v>
      </c>
      <c r="D116" s="189">
        <f>'Equipamentos e Materiais'!E113</f>
        <v>161.05</v>
      </c>
    </row>
    <row r="117" spans="1:4">
      <c r="A117" s="152" t="s">
        <v>50</v>
      </c>
      <c r="B117" t="s">
        <v>157</v>
      </c>
      <c r="D117" s="189">
        <f>'Equipamentos e Materiais'!F144</f>
        <v>29.49</v>
      </c>
    </row>
    <row r="118" spans="1:4">
      <c r="A118" s="152" t="s">
        <v>53</v>
      </c>
      <c r="B118" t="s">
        <v>220</v>
      </c>
      <c r="D118" s="189">
        <f>H117</f>
        <v>0</v>
      </c>
    </row>
    <row r="119" spans="1:4">
      <c r="A119" s="152" t="s">
        <v>58</v>
      </c>
      <c r="D119" s="190">
        <f>TRUNC(SUM(D114:D118),2)</f>
        <v>312.31</v>
      </c>
    </row>
    <row r="120" ht="15.75" spans="4:4">
      <c r="D120" s="208"/>
    </row>
    <row r="121" ht="16.5" spans="1:4">
      <c r="A121" s="161" t="s">
        <v>221</v>
      </c>
      <c r="B121" s="161"/>
      <c r="C121" s="166" t="s">
        <v>202</v>
      </c>
      <c r="D121" s="167">
        <f>D31</f>
        <v>2231.91</v>
      </c>
    </row>
    <row r="122" ht="16.5" spans="1:4">
      <c r="A122" s="161"/>
      <c r="B122" s="161"/>
      <c r="C122" s="168" t="s">
        <v>212</v>
      </c>
      <c r="D122" s="167">
        <f>D73</f>
        <v>2063.74</v>
      </c>
    </row>
    <row r="123" ht="16.5" spans="1:4">
      <c r="A123" s="161"/>
      <c r="B123" s="161"/>
      <c r="C123" s="166" t="s">
        <v>213</v>
      </c>
      <c r="D123" s="167">
        <f>D83</f>
        <v>134.86</v>
      </c>
    </row>
    <row r="124" ht="16.5" spans="1:4">
      <c r="A124" s="161"/>
      <c r="B124" s="161"/>
      <c r="C124" s="168" t="s">
        <v>222</v>
      </c>
      <c r="D124" s="167">
        <f>D110</f>
        <v>149.31</v>
      </c>
    </row>
    <row r="125" ht="16.5" spans="1:4">
      <c r="A125" s="161"/>
      <c r="B125" s="161"/>
      <c r="C125" s="166" t="s">
        <v>223</v>
      </c>
      <c r="D125" s="167">
        <f>D119</f>
        <v>312.31</v>
      </c>
    </row>
    <row r="126" ht="16.5" spans="1:4">
      <c r="A126" s="161"/>
      <c r="B126" s="161"/>
      <c r="C126" s="168" t="s">
        <v>204</v>
      </c>
      <c r="D126" s="169">
        <f>TRUNC((SUM(D121:D125)),2)</f>
        <v>4892.13</v>
      </c>
    </row>
    <row r="127" ht="15.75"/>
    <row r="128" spans="1:4">
      <c r="A128" s="130" t="s">
        <v>164</v>
      </c>
      <c r="B128" s="131"/>
      <c r="C128" s="131"/>
      <c r="D128" s="131"/>
    </row>
    <row r="129" ht="15.75" spans="1:7">
      <c r="A129" s="152" t="s">
        <v>165</v>
      </c>
      <c r="B129" t="s">
        <v>166</v>
      </c>
      <c r="C129" s="153" t="s">
        <v>38</v>
      </c>
      <c r="D129" s="153" t="s">
        <v>19</v>
      </c>
      <c r="F129" s="191" t="s">
        <v>224</v>
      </c>
      <c r="G129" s="191"/>
    </row>
    <row r="130" ht="15.75" spans="1:7">
      <c r="A130" s="152" t="s">
        <v>42</v>
      </c>
      <c r="B130" t="s">
        <v>167</v>
      </c>
      <c r="C130" s="192">
        <v>0.05</v>
      </c>
      <c r="D130" s="155">
        <f>TRUNC(($D$126*C130),2)</f>
        <v>244.6</v>
      </c>
      <c r="F130" s="193" t="s">
        <v>225</v>
      </c>
      <c r="G130" s="178">
        <f>C132</f>
        <v>0.0865</v>
      </c>
    </row>
    <row r="131" ht="15.75" spans="1:7">
      <c r="A131" s="152" t="s">
        <v>45</v>
      </c>
      <c r="B131" t="s">
        <v>59</v>
      </c>
      <c r="C131" s="192">
        <v>0.0462</v>
      </c>
      <c r="D131" s="155">
        <f>TRUNC((C131*(D126+D130)),2)</f>
        <v>237.31</v>
      </c>
      <c r="F131" s="194" t="s">
        <v>226</v>
      </c>
      <c r="G131" s="204">
        <f>TRUNC(SUM(D126,D130,D131),2)</f>
        <v>5374.04</v>
      </c>
    </row>
    <row r="132" ht="15.75" spans="1:7">
      <c r="A132" s="152" t="s">
        <v>48</v>
      </c>
      <c r="B132" t="s">
        <v>168</v>
      </c>
      <c r="C132" s="171">
        <f>SUM(C133:C135)</f>
        <v>0.0865</v>
      </c>
      <c r="D132" s="155">
        <f>TRUNC((SUM(D133:D135)),2)</f>
        <v>508.85</v>
      </c>
      <c r="F132" s="193" t="s">
        <v>227</v>
      </c>
      <c r="G132" s="196">
        <f>(100-8.65)/100</f>
        <v>0.9135</v>
      </c>
    </row>
    <row r="133" ht="15.75" spans="1:7">
      <c r="A133" s="152"/>
      <c r="B133" t="s">
        <v>228</v>
      </c>
      <c r="C133" s="171">
        <v>0.0065</v>
      </c>
      <c r="D133" s="155">
        <f t="shared" ref="D133:D135" si="3">TRUNC(($G$133*C133),2)</f>
        <v>38.23</v>
      </c>
      <c r="F133" s="194" t="s">
        <v>224</v>
      </c>
      <c r="G133" s="204">
        <f>TRUNC((G131/G132),2)</f>
        <v>5882.91</v>
      </c>
    </row>
    <row r="134" ht="15.75" spans="1:4">
      <c r="A134" s="152"/>
      <c r="B134" t="s">
        <v>229</v>
      </c>
      <c r="C134" s="171">
        <v>0.03</v>
      </c>
      <c r="D134" s="155">
        <f t="shared" si="3"/>
        <v>176.48</v>
      </c>
    </row>
    <row r="135" spans="1:4">
      <c r="A135" s="152"/>
      <c r="B135" t="s">
        <v>230</v>
      </c>
      <c r="C135" s="171">
        <v>0.05</v>
      </c>
      <c r="D135" s="155">
        <f t="shared" si="3"/>
        <v>294.14</v>
      </c>
    </row>
    <row r="136" spans="1:4">
      <c r="A136" s="152" t="s">
        <v>58</v>
      </c>
      <c r="C136" s="197"/>
      <c r="D136" s="160">
        <f>TRUNC(SUM(D130:D132),2)</f>
        <v>990.76</v>
      </c>
    </row>
    <row r="137" spans="1:4">
      <c r="A137" s="152"/>
      <c r="C137" s="197"/>
      <c r="D137" s="160"/>
    </row>
    <row r="139" spans="1:4">
      <c r="A139" s="130" t="s">
        <v>172</v>
      </c>
      <c r="B139" s="131"/>
      <c r="C139" s="131"/>
      <c r="D139" s="131"/>
    </row>
    <row r="140" spans="1:4">
      <c r="A140" s="152" t="s">
        <v>16</v>
      </c>
      <c r="B140" s="153" t="s">
        <v>173</v>
      </c>
      <c r="C140" s="153" t="s">
        <v>102</v>
      </c>
      <c r="D140" s="153" t="s">
        <v>19</v>
      </c>
    </row>
    <row r="141" spans="1:4">
      <c r="A141" s="152" t="s">
        <v>42</v>
      </c>
      <c r="B141" t="s">
        <v>36</v>
      </c>
      <c r="D141" s="160">
        <f>D31</f>
        <v>2231.91</v>
      </c>
    </row>
    <row r="142" spans="1:4">
      <c r="A142" s="152" t="s">
        <v>45</v>
      </c>
      <c r="B142" t="s">
        <v>61</v>
      </c>
      <c r="D142" s="160">
        <f>D73</f>
        <v>2063.74</v>
      </c>
    </row>
    <row r="143" spans="1:4">
      <c r="A143" s="152" t="s">
        <v>48</v>
      </c>
      <c r="B143" t="s">
        <v>108</v>
      </c>
      <c r="D143" s="160">
        <f>D83</f>
        <v>134.86</v>
      </c>
    </row>
    <row r="144" spans="1:4">
      <c r="A144" s="152" t="s">
        <v>50</v>
      </c>
      <c r="B144" t="s">
        <v>174</v>
      </c>
      <c r="D144" s="160">
        <f>D110</f>
        <v>149.31</v>
      </c>
    </row>
    <row r="145" spans="1:4">
      <c r="A145" s="152" t="s">
        <v>53</v>
      </c>
      <c r="B145" t="s">
        <v>152</v>
      </c>
      <c r="D145" s="160">
        <f>D119</f>
        <v>312.31</v>
      </c>
    </row>
    <row r="146" spans="2:4">
      <c r="B146" s="198" t="s">
        <v>231</v>
      </c>
      <c r="D146" s="160">
        <f>TRUNC(SUM(D141:D145),2)</f>
        <v>4892.13</v>
      </c>
    </row>
    <row r="147" spans="1:4">
      <c r="A147" s="152" t="s">
        <v>55</v>
      </c>
      <c r="B147" t="s">
        <v>164</v>
      </c>
      <c r="D147" s="160">
        <f>D136</f>
        <v>990.76</v>
      </c>
    </row>
    <row r="148" spans="1:4">
      <c r="A148" s="199"/>
      <c r="B148" s="200" t="s">
        <v>232</v>
      </c>
      <c r="C148" s="201"/>
      <c r="D148" s="202">
        <f>TRUNC((SUM(D141:D145)+D147),2)</f>
        <v>5882.89</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A128:D128"/>
    <mergeCell ref="F129:G129"/>
    <mergeCell ref="A139:D139"/>
    <mergeCell ref="A41:B43"/>
    <mergeCell ref="A85:B88"/>
    <mergeCell ref="A121:B126"/>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topLeftCell="A116" workbookViewId="0">
      <selection activeCell="G147" sqref="G147"/>
    </sheetView>
  </sheetViews>
  <sheetFormatPr defaultColWidth="9.14285714285714" defaultRowHeight="15" outlineLevelCol="6"/>
  <cols>
    <col min="1" max="1" width="10.5714285714286" style="106" customWidth="1"/>
    <col min="2" max="2" width="50.4285714285714" customWidth="1"/>
    <col min="3" max="3" width="29.8571428571429" customWidth="1"/>
    <col min="4" max="4" width="39.8571428571429" customWidth="1"/>
    <col min="6" max="6" width="22.8571428571429" customWidth="1"/>
    <col min="7" max="7" width="13.647619047619" customWidth="1"/>
    <col min="8" max="8" width="10.952380952381" customWidth="1"/>
    <col min="9" max="9" width="11.4285714285714" customWidth="1"/>
  </cols>
  <sheetData>
    <row r="2" ht="19.5" spans="1:4">
      <c r="A2" s="121" t="s">
        <v>177</v>
      </c>
      <c r="B2" s="122"/>
      <c r="C2" s="122"/>
      <c r="D2" s="122"/>
    </row>
    <row r="3" ht="15.75" spans="1:4">
      <c r="A3" s="123" t="s">
        <v>178</v>
      </c>
      <c r="B3" s="124"/>
      <c r="C3" s="124"/>
      <c r="D3" s="124"/>
    </row>
    <row r="4" spans="1:4">
      <c r="A4" s="125" t="s">
        <v>179</v>
      </c>
      <c r="B4" s="126" t="s">
        <v>180</v>
      </c>
      <c r="C4" s="127"/>
      <c r="D4" s="127"/>
    </row>
    <row r="5" spans="1:4">
      <c r="A5" s="128"/>
      <c r="B5" s="129"/>
      <c r="C5" s="129"/>
      <c r="D5" s="129"/>
    </row>
    <row r="6" ht="15.75" spans="1:4">
      <c r="A6" s="130" t="s">
        <v>181</v>
      </c>
      <c r="B6" s="131"/>
      <c r="C6" s="131"/>
      <c r="D6" s="131"/>
    </row>
    <row r="7" ht="15.75" spans="1:4">
      <c r="A7" s="132" t="s">
        <v>42</v>
      </c>
      <c r="B7" s="133" t="s">
        <v>182</v>
      </c>
      <c r="C7" s="134" t="s">
        <v>183</v>
      </c>
      <c r="D7" s="134"/>
    </row>
    <row r="8" spans="1:4">
      <c r="A8" s="135" t="s">
        <v>45</v>
      </c>
      <c r="B8" s="136" t="s">
        <v>184</v>
      </c>
      <c r="C8" s="137" t="s">
        <v>185</v>
      </c>
      <c r="D8" s="137"/>
    </row>
    <row r="9" spans="1:4">
      <c r="A9" s="138" t="s">
        <v>48</v>
      </c>
      <c r="B9" s="139" t="s">
        <v>186</v>
      </c>
      <c r="C9" s="137" t="s">
        <v>187</v>
      </c>
      <c r="D9" s="137"/>
    </row>
    <row r="10" spans="1:4">
      <c r="A10" s="135" t="s">
        <v>53</v>
      </c>
      <c r="B10" s="136" t="s">
        <v>188</v>
      </c>
      <c r="C10" s="137" t="s">
        <v>189</v>
      </c>
      <c r="D10" s="137"/>
    </row>
    <row r="11" ht="15.75" spans="1:4">
      <c r="A11" s="140" t="s">
        <v>190</v>
      </c>
      <c r="B11" s="141"/>
      <c r="C11" s="141"/>
      <c r="D11" s="141"/>
    </row>
    <row r="12" ht="16.5" spans="1:4">
      <c r="A12" s="142" t="s">
        <v>191</v>
      </c>
      <c r="B12" s="143"/>
      <c r="C12" s="141" t="s">
        <v>192</v>
      </c>
      <c r="D12" s="144" t="s">
        <v>193</v>
      </c>
    </row>
    <row r="13" ht="15.75" spans="1:4">
      <c r="A13" s="145" t="s">
        <v>243</v>
      </c>
      <c r="B13" s="146"/>
      <c r="C13" s="137" t="s">
        <v>195</v>
      </c>
      <c r="D13" s="147">
        <f>RESUMO!D8</f>
        <v>3</v>
      </c>
    </row>
    <row r="14" spans="1:4">
      <c r="A14" s="148"/>
      <c r="B14" s="149"/>
      <c r="C14" s="137"/>
      <c r="D14" s="150"/>
    </row>
    <row r="15" ht="15.75" spans="1:7">
      <c r="A15" s="140" t="s">
        <v>14</v>
      </c>
      <c r="B15" s="141"/>
      <c r="C15" s="141"/>
      <c r="D15" s="141"/>
      <c r="F15" s="151"/>
      <c r="G15" s="151"/>
    </row>
    <row r="16" ht="15.75" spans="1:4">
      <c r="A16" s="152" t="s">
        <v>16</v>
      </c>
      <c r="B16" t="s">
        <v>17</v>
      </c>
      <c r="C16" s="153" t="s">
        <v>18</v>
      </c>
      <c r="D16" s="153" t="s">
        <v>19</v>
      </c>
    </row>
    <row r="17" spans="1:4">
      <c r="A17" s="152">
        <v>1</v>
      </c>
      <c r="B17" t="s">
        <v>20</v>
      </c>
      <c r="C17" s="154" t="s">
        <v>102</v>
      </c>
      <c r="D17" s="154" t="str">
        <f>A13</f>
        <v>Auxiliar de Manutenção Predial</v>
      </c>
    </row>
    <row r="18" spans="1:4">
      <c r="A18" s="152">
        <v>2</v>
      </c>
      <c r="B18" t="s">
        <v>23</v>
      </c>
      <c r="C18" s="154" t="s">
        <v>196</v>
      </c>
      <c r="D18" s="154" t="s">
        <v>244</v>
      </c>
    </row>
    <row r="19" spans="1:4">
      <c r="A19" s="152">
        <v>3</v>
      </c>
      <c r="B19" t="s">
        <v>26</v>
      </c>
      <c r="C19" s="154" t="str">
        <f>C9</f>
        <v>CCT PB000071/2023</v>
      </c>
      <c r="D19" s="155">
        <v>1716.86</v>
      </c>
    </row>
    <row r="20" spans="1:4">
      <c r="A20" s="152">
        <v>4</v>
      </c>
      <c r="B20" t="s">
        <v>29</v>
      </c>
      <c r="C20" s="154" t="str">
        <f>C9</f>
        <v>CCT PB000071/2023</v>
      </c>
      <c r="D20" s="156" t="s">
        <v>198</v>
      </c>
    </row>
    <row r="21" spans="1:4">
      <c r="A21" s="152">
        <v>5</v>
      </c>
      <c r="B21" t="s">
        <v>33</v>
      </c>
      <c r="C21" s="154" t="str">
        <f>C9</f>
        <v>CCT PB000071/2023</v>
      </c>
      <c r="D21" s="157" t="s">
        <v>199</v>
      </c>
    </row>
    <row r="22" spans="6:7">
      <c r="F22" s="151"/>
      <c r="G22" s="151"/>
    </row>
    <row r="23" spans="1:4">
      <c r="A23" s="130" t="s">
        <v>36</v>
      </c>
      <c r="B23" s="131"/>
      <c r="C23" s="131"/>
      <c r="D23" s="131"/>
    </row>
    <row r="24" spans="1:7">
      <c r="A24" s="152" t="s">
        <v>39</v>
      </c>
      <c r="B24" s="158" t="s">
        <v>40</v>
      </c>
      <c r="C24" s="153" t="s">
        <v>18</v>
      </c>
      <c r="D24" s="153" t="s">
        <v>19</v>
      </c>
      <c r="G24" s="159"/>
    </row>
    <row r="25" spans="1:7">
      <c r="A25" s="152" t="s">
        <v>42</v>
      </c>
      <c r="B25" t="s">
        <v>43</v>
      </c>
      <c r="C25" s="156" t="s">
        <v>200</v>
      </c>
      <c r="D25" s="155">
        <f>D19</f>
        <v>1716.86</v>
      </c>
      <c r="G25" s="159"/>
    </row>
    <row r="26" spans="1:7">
      <c r="A26" s="152" t="s">
        <v>45</v>
      </c>
      <c r="B26" t="s">
        <v>46</v>
      </c>
      <c r="C26" s="156"/>
      <c r="D26" s="155">
        <v>0</v>
      </c>
      <c r="G26" s="159"/>
    </row>
    <row r="27" spans="1:4">
      <c r="A27" s="152" t="s">
        <v>48</v>
      </c>
      <c r="B27" t="s">
        <v>49</v>
      </c>
      <c r="C27" s="156"/>
      <c r="D27" s="155">
        <v>0</v>
      </c>
    </row>
    <row r="28" spans="1:4">
      <c r="A28" s="152" t="s">
        <v>50</v>
      </c>
      <c r="B28" t="s">
        <v>51</v>
      </c>
      <c r="C28" s="156"/>
      <c r="D28" s="155">
        <v>0</v>
      </c>
    </row>
    <row r="29" spans="1:4">
      <c r="A29" s="152" t="s">
        <v>53</v>
      </c>
      <c r="B29" t="s">
        <v>54</v>
      </c>
      <c r="C29" s="156"/>
      <c r="D29" s="155">
        <v>0</v>
      </c>
    </row>
    <row r="30" spans="1:4">
      <c r="A30" s="152" t="s">
        <v>55</v>
      </c>
      <c r="B30" t="s">
        <v>56</v>
      </c>
      <c r="C30" s="156"/>
      <c r="D30" s="155">
        <v>0</v>
      </c>
    </row>
    <row r="31" spans="1:7">
      <c r="A31" s="152" t="s">
        <v>58</v>
      </c>
      <c r="C31" s="153"/>
      <c r="D31" s="160">
        <f>TRUNC(SUM(D25:D30),2)</f>
        <v>1716.86</v>
      </c>
      <c r="F31" s="151"/>
      <c r="G31" s="151"/>
    </row>
    <row r="33" spans="1:7">
      <c r="A33" s="161" t="s">
        <v>61</v>
      </c>
      <c r="B33" s="162"/>
      <c r="C33" s="162"/>
      <c r="D33" s="162"/>
      <c r="G33" s="159"/>
    </row>
    <row r="35" spans="1:4">
      <c r="A35" s="163" t="s">
        <v>63</v>
      </c>
      <c r="B35" s="151"/>
      <c r="C35" s="151"/>
      <c r="D35" s="151"/>
    </row>
    <row r="36" spans="1:4">
      <c r="A36" s="152" t="s">
        <v>65</v>
      </c>
      <c r="B36" s="158" t="s">
        <v>66</v>
      </c>
      <c r="C36" s="153" t="s">
        <v>38</v>
      </c>
      <c r="D36" s="153" t="s">
        <v>19</v>
      </c>
    </row>
    <row r="37" spans="1:7">
      <c r="A37" s="152" t="s">
        <v>42</v>
      </c>
      <c r="B37" t="s">
        <v>67</v>
      </c>
      <c r="C37" s="164">
        <f>(1/12)</f>
        <v>0.0833333333333333</v>
      </c>
      <c r="D37" s="160">
        <f>TRUNC($D$31*C37,2)</f>
        <v>143.07</v>
      </c>
      <c r="F37" s="165"/>
      <c r="G37" s="165"/>
    </row>
    <row r="38" spans="1:7">
      <c r="A38" s="152" t="s">
        <v>45</v>
      </c>
      <c r="B38" t="s">
        <v>68</v>
      </c>
      <c r="C38" s="164">
        <f>(((1+1/3)/12))</f>
        <v>0.111111111111111</v>
      </c>
      <c r="D38" s="160">
        <f>TRUNC($D$31*C38,2)</f>
        <v>190.76</v>
      </c>
      <c r="F38" s="165"/>
      <c r="G38" s="165"/>
    </row>
    <row r="39" spans="1:7">
      <c r="A39" s="152" t="s">
        <v>58</v>
      </c>
      <c r="D39" s="160">
        <f>TRUNC((SUM(D37:D38)),2)</f>
        <v>333.83</v>
      </c>
      <c r="F39" s="165"/>
      <c r="G39" s="165"/>
    </row>
    <row r="40" ht="15.75" spans="4:7">
      <c r="D40" s="160"/>
      <c r="F40" s="165"/>
      <c r="G40" s="165"/>
    </row>
    <row r="41" ht="16.5" spans="1:7">
      <c r="A41" s="161" t="s">
        <v>201</v>
      </c>
      <c r="B41" s="161"/>
      <c r="C41" s="166" t="s">
        <v>202</v>
      </c>
      <c r="D41" s="167">
        <f>D31</f>
        <v>1716.86</v>
      </c>
      <c r="F41" s="165"/>
      <c r="G41" s="165"/>
    </row>
    <row r="42" ht="16.5" spans="1:7">
      <c r="A42" s="161"/>
      <c r="B42" s="161"/>
      <c r="C42" s="168" t="s">
        <v>203</v>
      </c>
      <c r="D42" s="167">
        <f>D39</f>
        <v>333.83</v>
      </c>
      <c r="F42" s="165"/>
      <c r="G42" s="165"/>
    </row>
    <row r="43" ht="16.5" spans="1:7">
      <c r="A43" s="161"/>
      <c r="B43" s="161"/>
      <c r="C43" s="166" t="s">
        <v>204</v>
      </c>
      <c r="D43" s="169">
        <f>TRUNC((SUM(D41:D42)),2)</f>
        <v>2050.69</v>
      </c>
      <c r="F43" s="165"/>
      <c r="G43" s="165"/>
    </row>
    <row r="44" ht="15.75" spans="1:7">
      <c r="A44" s="152"/>
      <c r="C44" s="170"/>
      <c r="D44" s="160"/>
      <c r="F44" s="165"/>
      <c r="G44" s="165"/>
    </row>
    <row r="45" spans="1:4">
      <c r="A45" s="163" t="s">
        <v>77</v>
      </c>
      <c r="B45" s="151"/>
      <c r="C45" s="151"/>
      <c r="D45" s="151"/>
    </row>
    <row r="46" spans="1:4">
      <c r="A46" s="152" t="s">
        <v>78</v>
      </c>
      <c r="B46" s="158" t="s">
        <v>79</v>
      </c>
      <c r="C46" s="153" t="s">
        <v>38</v>
      </c>
      <c r="D46" s="153" t="s">
        <v>80</v>
      </c>
    </row>
    <row r="47" spans="1:4">
      <c r="A47" s="152" t="s">
        <v>42</v>
      </c>
      <c r="B47" t="s">
        <v>81</v>
      </c>
      <c r="C47" s="164">
        <v>0.2</v>
      </c>
      <c r="D47" s="160">
        <f t="shared" ref="D47:D54" si="0">TRUNC(($D$43*C47),2)</f>
        <v>410.13</v>
      </c>
    </row>
    <row r="48" spans="1:4">
      <c r="A48" s="152" t="s">
        <v>45</v>
      </c>
      <c r="B48" t="s">
        <v>82</v>
      </c>
      <c r="C48" s="164">
        <v>0.025</v>
      </c>
      <c r="D48" s="160">
        <f t="shared" si="0"/>
        <v>51.26</v>
      </c>
    </row>
    <row r="49" spans="1:4">
      <c r="A49" s="152" t="s">
        <v>48</v>
      </c>
      <c r="B49" t="s">
        <v>205</v>
      </c>
      <c r="C49" s="171">
        <v>0.06</v>
      </c>
      <c r="D49" s="155">
        <f t="shared" si="0"/>
        <v>123.04</v>
      </c>
    </row>
    <row r="50" spans="1:4">
      <c r="A50" s="152" t="s">
        <v>50</v>
      </c>
      <c r="B50" t="s">
        <v>84</v>
      </c>
      <c r="C50" s="164">
        <v>0.015</v>
      </c>
      <c r="D50" s="160">
        <f t="shared" si="0"/>
        <v>30.76</v>
      </c>
    </row>
    <row r="51" spans="1:4">
      <c r="A51" s="152" t="s">
        <v>53</v>
      </c>
      <c r="B51" t="s">
        <v>85</v>
      </c>
      <c r="C51" s="164">
        <v>0.01</v>
      </c>
      <c r="D51" s="160">
        <f t="shared" si="0"/>
        <v>20.5</v>
      </c>
    </row>
    <row r="52" spans="1:4">
      <c r="A52" s="152" t="s">
        <v>55</v>
      </c>
      <c r="B52" t="s">
        <v>86</v>
      </c>
      <c r="C52" s="164">
        <v>0.006</v>
      </c>
      <c r="D52" s="160">
        <f t="shared" si="0"/>
        <v>12.3</v>
      </c>
    </row>
    <row r="53" spans="1:4">
      <c r="A53" s="152" t="s">
        <v>87</v>
      </c>
      <c r="B53" t="s">
        <v>88</v>
      </c>
      <c r="C53" s="164">
        <v>0.002</v>
      </c>
      <c r="D53" s="160">
        <f t="shared" si="0"/>
        <v>4.1</v>
      </c>
    </row>
    <row r="54" spans="1:4">
      <c r="A54" s="152" t="s">
        <v>89</v>
      </c>
      <c r="B54" t="s">
        <v>90</v>
      </c>
      <c r="C54" s="164">
        <v>0.08</v>
      </c>
      <c r="D54" s="160">
        <f t="shared" si="0"/>
        <v>164.05</v>
      </c>
    </row>
    <row r="55" spans="1:4">
      <c r="A55" s="152" t="s">
        <v>58</v>
      </c>
      <c r="C55" s="170">
        <f>SUM(C47:C54)</f>
        <v>0.398</v>
      </c>
      <c r="D55" s="160">
        <f>TRUNC((SUM(D47:D54)),2)</f>
        <v>816.14</v>
      </c>
    </row>
    <row r="56" spans="1:4">
      <c r="A56" s="152"/>
      <c r="C56" s="170"/>
      <c r="D56" s="160"/>
    </row>
    <row r="57" spans="1:4">
      <c r="A57" s="163" t="s">
        <v>95</v>
      </c>
      <c r="B57" s="151"/>
      <c r="C57" s="151"/>
      <c r="D57" s="151"/>
    </row>
    <row r="58" spans="1:4">
      <c r="A58" s="152" t="s">
        <v>96</v>
      </c>
      <c r="B58" s="158" t="s">
        <v>97</v>
      </c>
      <c r="C58" s="153" t="s">
        <v>18</v>
      </c>
      <c r="D58" s="153" t="s">
        <v>19</v>
      </c>
    </row>
    <row r="59" spans="1:4">
      <c r="A59" s="152" t="s">
        <v>42</v>
      </c>
      <c r="B59" t="s">
        <v>98</v>
      </c>
      <c r="C59" s="154"/>
      <c r="D59" s="172">
        <f>TRUNC(((22*4.7)*2)-((D25/100)*6),2)</f>
        <v>103.78</v>
      </c>
    </row>
    <row r="60" spans="1:4">
      <c r="A60" s="152" t="s">
        <v>45</v>
      </c>
      <c r="B60" t="s">
        <v>99</v>
      </c>
      <c r="C60" s="154" t="str">
        <f>C9</f>
        <v>CCT PB000071/2023</v>
      </c>
      <c r="D60" s="155">
        <f>TRUNC((((500))-(((500))*0.2)),2)</f>
        <v>400</v>
      </c>
    </row>
    <row r="61" spans="1:4">
      <c r="A61" s="152" t="s">
        <v>48</v>
      </c>
      <c r="B61" t="s">
        <v>100</v>
      </c>
      <c r="C61" s="154"/>
      <c r="D61" s="155">
        <v>0</v>
      </c>
    </row>
    <row r="62" spans="1:6">
      <c r="A62" s="152" t="s">
        <v>50</v>
      </c>
      <c r="B62" s="173" t="s">
        <v>206</v>
      </c>
      <c r="C62" s="174"/>
      <c r="D62" s="174">
        <v>0</v>
      </c>
      <c r="F62" s="173"/>
    </row>
    <row r="63" spans="1:4">
      <c r="A63" s="152" t="s">
        <v>53</v>
      </c>
      <c r="B63" s="158" t="s">
        <v>207</v>
      </c>
      <c r="C63" s="154" t="str">
        <f>C60</f>
        <v>CCT PB000071/2023</v>
      </c>
      <c r="D63" s="155">
        <v>20</v>
      </c>
    </row>
    <row r="64" spans="1:4">
      <c r="A64" s="152" t="s">
        <v>55</v>
      </c>
      <c r="B64" s="175" t="s">
        <v>208</v>
      </c>
      <c r="C64" s="154" t="str">
        <f>C9</f>
        <v>CCT PB000071/2023</v>
      </c>
      <c r="D64" s="155">
        <v>5</v>
      </c>
    </row>
    <row r="65" spans="1:4">
      <c r="A65" s="152" t="s">
        <v>87</v>
      </c>
      <c r="B65" s="175" t="s">
        <v>209</v>
      </c>
      <c r="C65" s="174" t="str">
        <f>C60</f>
        <v>CCT PB000071/2023</v>
      </c>
      <c r="D65" s="155">
        <v>40</v>
      </c>
    </row>
    <row r="66" spans="1:4">
      <c r="A66" s="152" t="s">
        <v>58</v>
      </c>
      <c r="D66" s="160">
        <f>TRUNC((SUM(D59:D65)),2)</f>
        <v>568.78</v>
      </c>
    </row>
    <row r="67" spans="1:4">
      <c r="A67" s="152"/>
      <c r="D67" s="160"/>
    </row>
    <row r="68" spans="1:4">
      <c r="A68" s="163" t="s">
        <v>105</v>
      </c>
      <c r="B68" s="151"/>
      <c r="C68" s="151"/>
      <c r="D68" s="151"/>
    </row>
    <row r="69" spans="1:4">
      <c r="A69" s="152" t="s">
        <v>106</v>
      </c>
      <c r="B69" s="158" t="s">
        <v>107</v>
      </c>
      <c r="C69" s="153" t="s">
        <v>18</v>
      </c>
      <c r="D69" s="153" t="s">
        <v>19</v>
      </c>
    </row>
    <row r="70" spans="1:4">
      <c r="A70" s="152" t="s">
        <v>65</v>
      </c>
      <c r="B70" t="s">
        <v>66</v>
      </c>
      <c r="C70" s="153"/>
      <c r="D70" s="160">
        <f>D39</f>
        <v>333.83</v>
      </c>
    </row>
    <row r="71" spans="1:4">
      <c r="A71" s="152" t="s">
        <v>78</v>
      </c>
      <c r="B71" t="s">
        <v>79</v>
      </c>
      <c r="C71" s="153"/>
      <c r="D71" s="160">
        <f>D55</f>
        <v>816.14</v>
      </c>
    </row>
    <row r="72" spans="1:4">
      <c r="A72" s="152" t="s">
        <v>96</v>
      </c>
      <c r="B72" t="s">
        <v>97</v>
      </c>
      <c r="C72" s="153"/>
      <c r="D72" s="160">
        <f>D66</f>
        <v>568.78</v>
      </c>
    </row>
    <row r="73" spans="1:4">
      <c r="A73" s="152" t="s">
        <v>58</v>
      </c>
      <c r="C73" s="153"/>
      <c r="D73" s="160">
        <f>TRUNC(SUM(D70:D72),2)</f>
        <v>1718.75</v>
      </c>
    </row>
    <row r="75" spans="1:4">
      <c r="A75" s="130" t="s">
        <v>108</v>
      </c>
      <c r="B75" s="131"/>
      <c r="C75" s="131"/>
      <c r="D75" s="131"/>
    </row>
    <row r="76" spans="1:4">
      <c r="A76" s="152" t="s">
        <v>109</v>
      </c>
      <c r="B76" s="158" t="s">
        <v>110</v>
      </c>
      <c r="C76" s="153" t="s">
        <v>38</v>
      </c>
      <c r="D76" s="153" t="s">
        <v>19</v>
      </c>
    </row>
    <row r="77" spans="1:4">
      <c r="A77" s="152" t="s">
        <v>42</v>
      </c>
      <c r="B77" t="s">
        <v>111</v>
      </c>
      <c r="C77" s="171">
        <f>((1/12)*2%)</f>
        <v>0.00166666666666667</v>
      </c>
      <c r="D77" s="155">
        <f t="shared" ref="D77:D80" si="1">TRUNC(($D$31*C77),2)</f>
        <v>2.86</v>
      </c>
    </row>
    <row r="78" spans="1:4">
      <c r="A78" s="152" t="s">
        <v>45</v>
      </c>
      <c r="B78" t="s">
        <v>112</v>
      </c>
      <c r="C78" s="176">
        <v>0.08</v>
      </c>
      <c r="D78" s="160">
        <f>TRUNC(($D$77*C78),2)</f>
        <v>0.22</v>
      </c>
    </row>
    <row r="79" ht="30" spans="1:4">
      <c r="A79" s="152" t="s">
        <v>48</v>
      </c>
      <c r="B79" s="177" t="s">
        <v>113</v>
      </c>
      <c r="C79" s="178">
        <f>(0.08*0.4*0.02)</f>
        <v>0.00064</v>
      </c>
      <c r="D79" s="174">
        <f t="shared" si="1"/>
        <v>1.09</v>
      </c>
    </row>
    <row r="80" spans="1:4">
      <c r="A80" s="152" t="s">
        <v>50</v>
      </c>
      <c r="B80" t="s">
        <v>114</v>
      </c>
      <c r="C80" s="176">
        <f>(((7/30)/12)*0.98)</f>
        <v>0.0190555555555556</v>
      </c>
      <c r="D80" s="160">
        <f t="shared" si="1"/>
        <v>32.71</v>
      </c>
    </row>
    <row r="81" ht="30" spans="1:4">
      <c r="A81" s="152" t="s">
        <v>53</v>
      </c>
      <c r="B81" s="177" t="s">
        <v>210</v>
      </c>
      <c r="C81" s="178">
        <f>C55</f>
        <v>0.398</v>
      </c>
      <c r="D81" s="174">
        <f>TRUNC(($D$80*C81),2)</f>
        <v>13.01</v>
      </c>
    </row>
    <row r="82" ht="30" spans="1:4">
      <c r="A82" s="152" t="s">
        <v>55</v>
      </c>
      <c r="B82" s="177" t="s">
        <v>115</v>
      </c>
      <c r="C82" s="178">
        <f>(0.08*0.4*0.98)</f>
        <v>0.03136</v>
      </c>
      <c r="D82" s="174">
        <f>TRUNC(($D$31*C82),2)</f>
        <v>53.84</v>
      </c>
    </row>
    <row r="83" spans="1:4">
      <c r="A83" s="152" t="s">
        <v>58</v>
      </c>
      <c r="C83" s="176">
        <f>SUM(C77:C82)</f>
        <v>0.530722222222222</v>
      </c>
      <c r="D83" s="160">
        <f>TRUNC((SUM(D77:D82)),2)</f>
        <v>103.73</v>
      </c>
    </row>
    <row r="84" ht="15.75" spans="1:4">
      <c r="A84" s="152"/>
      <c r="D84" s="160"/>
    </row>
    <row r="85" ht="16.5" spans="1:4">
      <c r="A85" s="161" t="s">
        <v>211</v>
      </c>
      <c r="B85" s="161"/>
      <c r="C85" s="166" t="s">
        <v>202</v>
      </c>
      <c r="D85" s="167">
        <f>D31</f>
        <v>1716.86</v>
      </c>
    </row>
    <row r="86" ht="16.5" spans="1:4">
      <c r="A86" s="161"/>
      <c r="B86" s="161"/>
      <c r="C86" s="168" t="s">
        <v>212</v>
      </c>
      <c r="D86" s="167">
        <f>D73</f>
        <v>1718.75</v>
      </c>
    </row>
    <row r="87" ht="16.5" spans="1:4">
      <c r="A87" s="161"/>
      <c r="B87" s="161"/>
      <c r="C87" s="166" t="s">
        <v>213</v>
      </c>
      <c r="D87" s="167">
        <f>D83</f>
        <v>103.73</v>
      </c>
    </row>
    <row r="88" ht="16.5" spans="1:4">
      <c r="A88" s="161"/>
      <c r="B88" s="161"/>
      <c r="C88" s="168" t="s">
        <v>204</v>
      </c>
      <c r="D88" s="169">
        <f>TRUNC((SUM(D85:D87)),2)</f>
        <v>3539.34</v>
      </c>
    </row>
    <row r="89" ht="15.75" spans="1:4">
      <c r="A89" s="152"/>
      <c r="D89" s="160"/>
    </row>
    <row r="90" spans="1:4">
      <c r="A90" s="179" t="s">
        <v>127</v>
      </c>
      <c r="B90" s="180"/>
      <c r="C90" s="180"/>
      <c r="D90" s="180"/>
    </row>
    <row r="91" spans="1:4">
      <c r="A91" s="163" t="s">
        <v>128</v>
      </c>
      <c r="B91" s="151"/>
      <c r="C91" s="151"/>
      <c r="D91" s="151"/>
    </row>
    <row r="92" spans="1:4">
      <c r="A92" s="152" t="s">
        <v>129</v>
      </c>
      <c r="B92" s="158" t="s">
        <v>130</v>
      </c>
      <c r="C92" s="153" t="s">
        <v>38</v>
      </c>
      <c r="D92" s="153" t="s">
        <v>19</v>
      </c>
    </row>
    <row r="93" spans="1:4">
      <c r="A93" s="152" t="s">
        <v>42</v>
      </c>
      <c r="B93" t="s">
        <v>132</v>
      </c>
      <c r="C93" s="176">
        <f>(((1+1/3)/12)/12)+((1/12)/12)</f>
        <v>0.0162037037037037</v>
      </c>
      <c r="D93" s="160">
        <f>TRUNC(($D$88*C93),2)</f>
        <v>57.35</v>
      </c>
    </row>
    <row r="94" spans="1:4">
      <c r="A94" s="152" t="s">
        <v>45</v>
      </c>
      <c r="B94" t="s">
        <v>133</v>
      </c>
      <c r="C94" s="171">
        <f>((5/30)/12)</f>
        <v>0.0138888888888889</v>
      </c>
      <c r="D94" s="174">
        <f>TRUNC(($D$88*C94),2)</f>
        <v>49.15</v>
      </c>
    </row>
    <row r="95" spans="1:4">
      <c r="A95" s="152" t="s">
        <v>48</v>
      </c>
      <c r="B95" t="s">
        <v>134</v>
      </c>
      <c r="C95" s="171">
        <f>((5/30)/12)*0.02</f>
        <v>0.000277777777777778</v>
      </c>
      <c r="D95" s="174">
        <f t="shared" ref="D93:D97" si="2">TRUNC(($D$88*C95),2)</f>
        <v>0.98</v>
      </c>
    </row>
    <row r="96" ht="30" spans="1:4">
      <c r="A96" s="152" t="s">
        <v>50</v>
      </c>
      <c r="B96" s="177" t="s">
        <v>135</v>
      </c>
      <c r="C96" s="178">
        <f>((15/30)/12)*0.08</f>
        <v>0.00333333333333333</v>
      </c>
      <c r="D96" s="174">
        <f t="shared" si="2"/>
        <v>11.79</v>
      </c>
    </row>
    <row r="97" spans="1:4">
      <c r="A97" s="152" t="s">
        <v>53</v>
      </c>
      <c r="B97" t="s">
        <v>136</v>
      </c>
      <c r="C97" s="171">
        <f>((1+1/3)/12)*0.00001*((4/12))</f>
        <v>3.7037037037037e-7</v>
      </c>
      <c r="D97" s="174">
        <f t="shared" si="2"/>
        <v>0</v>
      </c>
    </row>
    <row r="98" ht="30" spans="1:4">
      <c r="A98" s="152" t="s">
        <v>55</v>
      </c>
      <c r="B98" s="177" t="s">
        <v>214</v>
      </c>
      <c r="C98" s="181">
        <v>0</v>
      </c>
      <c r="D98" s="174">
        <f>TRUNC($D$88*C98)</f>
        <v>0</v>
      </c>
    </row>
    <row r="99" spans="1:4">
      <c r="A99" s="152" t="s">
        <v>58</v>
      </c>
      <c r="C99" s="176">
        <f>SUBTOTAL(109,Submódulo4.159_80[Percentual])</f>
        <v>0.0337040740740741</v>
      </c>
      <c r="D99" s="160">
        <f>TRUNC((SUM(D93:D98)),2)</f>
        <v>119.27</v>
      </c>
    </row>
    <row r="100" spans="1:4">
      <c r="A100" s="152"/>
      <c r="C100" s="153"/>
      <c r="D100" s="160"/>
    </row>
    <row r="101" spans="1:4">
      <c r="A101" s="163" t="s">
        <v>144</v>
      </c>
      <c r="B101" s="151"/>
      <c r="C101" s="151"/>
      <c r="D101" s="151"/>
    </row>
    <row r="102" spans="1:4">
      <c r="A102" s="152" t="s">
        <v>145</v>
      </c>
      <c r="B102" s="158" t="s">
        <v>146</v>
      </c>
      <c r="C102" s="153" t="s">
        <v>18</v>
      </c>
      <c r="D102" s="153" t="s">
        <v>19</v>
      </c>
    </row>
    <row r="103" ht="90" spans="1:4">
      <c r="A103" s="152" t="s">
        <v>42</v>
      </c>
      <c r="B103" s="182" t="s">
        <v>147</v>
      </c>
      <c r="C103" s="183" t="s">
        <v>215</v>
      </c>
      <c r="D103" s="184" t="s">
        <v>216</v>
      </c>
    </row>
    <row r="104" spans="1:4">
      <c r="A104" s="152" t="s">
        <v>58</v>
      </c>
      <c r="C104" s="185"/>
      <c r="D104" s="186" t="str">
        <f>D103</f>
        <v>*=TRUNCAR(($D$86/220)*(1*(365/12))/2)</v>
      </c>
    </row>
    <row r="106" spans="1:4">
      <c r="A106" s="163" t="s">
        <v>148</v>
      </c>
      <c r="B106" s="151"/>
      <c r="C106" s="151"/>
      <c r="D106" s="151"/>
    </row>
    <row r="107" spans="1:4">
      <c r="A107" s="152" t="s">
        <v>149</v>
      </c>
      <c r="B107" s="158" t="s">
        <v>150</v>
      </c>
      <c r="C107" s="153" t="s">
        <v>18</v>
      </c>
      <c r="D107" s="153" t="s">
        <v>19</v>
      </c>
    </row>
    <row r="108" spans="1:4">
      <c r="A108" s="152" t="s">
        <v>129</v>
      </c>
      <c r="B108" t="s">
        <v>130</v>
      </c>
      <c r="D108" s="155">
        <f>D99</f>
        <v>119.27</v>
      </c>
    </row>
    <row r="109" spans="1:4">
      <c r="A109" s="152" t="s">
        <v>145</v>
      </c>
      <c r="B109" t="s">
        <v>151</v>
      </c>
      <c r="C109" s="158"/>
      <c r="D109" s="187" t="str">
        <f>Submódulo4.260_81[[#Totals],[Valor]]</f>
        <v>*=TRUNCAR(($D$86/220)*(1*(365/12))/2)</v>
      </c>
    </row>
    <row r="110" ht="60" spans="1:4">
      <c r="A110" s="152" t="s">
        <v>58</v>
      </c>
      <c r="B110" s="173"/>
      <c r="C110" s="183" t="s">
        <v>217</v>
      </c>
      <c r="D110" s="188">
        <f>TRUNC((SUM(D108:D109)),2)</f>
        <v>119.27</v>
      </c>
    </row>
    <row r="112" spans="1:4">
      <c r="A112" s="130" t="s">
        <v>152</v>
      </c>
      <c r="B112" s="131"/>
      <c r="C112" s="131"/>
      <c r="D112" s="131"/>
    </row>
    <row r="113" spans="1:4">
      <c r="A113" s="152" t="s">
        <v>153</v>
      </c>
      <c r="B113" s="158" t="s">
        <v>154</v>
      </c>
      <c r="C113" s="153" t="s">
        <v>18</v>
      </c>
      <c r="D113" s="153" t="s">
        <v>19</v>
      </c>
    </row>
    <row r="114" spans="1:4">
      <c r="A114" s="152" t="s">
        <v>42</v>
      </c>
      <c r="B114" t="s">
        <v>218</v>
      </c>
      <c r="D114" s="189">
        <f>'Uniformes e EPI'!G127</f>
        <v>112.8</v>
      </c>
    </row>
    <row r="115" spans="1:4">
      <c r="A115" s="152" t="s">
        <v>45</v>
      </c>
      <c r="B115" t="s">
        <v>219</v>
      </c>
      <c r="D115" s="189">
        <f>EPC!E21</f>
        <v>12.16</v>
      </c>
    </row>
    <row r="116" spans="1:4">
      <c r="A116" s="152" t="s">
        <v>48</v>
      </c>
      <c r="B116" t="s">
        <v>156</v>
      </c>
      <c r="D116" s="189">
        <f>'Equipamentos e Materiais'!E113</f>
        <v>161.05</v>
      </c>
    </row>
    <row r="117" spans="1:4">
      <c r="A117" s="152" t="s">
        <v>50</v>
      </c>
      <c r="B117" t="s">
        <v>157</v>
      </c>
      <c r="D117" s="189">
        <f>'Equipamentos e Materiais'!F144</f>
        <v>29.49</v>
      </c>
    </row>
    <row r="118" spans="1:4">
      <c r="A118" s="152" t="s">
        <v>53</v>
      </c>
      <c r="B118" t="s">
        <v>220</v>
      </c>
      <c r="D118" s="189">
        <f>H117</f>
        <v>0</v>
      </c>
    </row>
    <row r="119" spans="1:4">
      <c r="A119" s="152" t="s">
        <v>58</v>
      </c>
      <c r="D119" s="190">
        <f>TRUNC(SUM(D114:D118),2)</f>
        <v>315.5</v>
      </c>
    </row>
    <row r="120" ht="15.75"/>
    <row r="121" ht="16.5" spans="1:4">
      <c r="A121" s="161" t="s">
        <v>221</v>
      </c>
      <c r="B121" s="161"/>
      <c r="C121" s="166" t="s">
        <v>202</v>
      </c>
      <c r="D121" s="167">
        <f>D31</f>
        <v>1716.86</v>
      </c>
    </row>
    <row r="122" ht="16.5" spans="1:4">
      <c r="A122" s="161"/>
      <c r="B122" s="161"/>
      <c r="C122" s="168" t="s">
        <v>212</v>
      </c>
      <c r="D122" s="167">
        <f>D73</f>
        <v>1718.75</v>
      </c>
    </row>
    <row r="123" ht="16.5" spans="1:4">
      <c r="A123" s="161"/>
      <c r="B123" s="161"/>
      <c r="C123" s="166" t="s">
        <v>213</v>
      </c>
      <c r="D123" s="167">
        <f>D83</f>
        <v>103.73</v>
      </c>
    </row>
    <row r="124" ht="16.5" spans="1:4">
      <c r="A124" s="161"/>
      <c r="B124" s="161"/>
      <c r="C124" s="168" t="s">
        <v>222</v>
      </c>
      <c r="D124" s="167">
        <f>D110</f>
        <v>119.27</v>
      </c>
    </row>
    <row r="125" ht="16.5" spans="1:4">
      <c r="A125" s="161"/>
      <c r="B125" s="161"/>
      <c r="C125" s="166" t="s">
        <v>223</v>
      </c>
      <c r="D125" s="167">
        <f>D119</f>
        <v>315.5</v>
      </c>
    </row>
    <row r="126" ht="16.5" spans="1:4">
      <c r="A126" s="161"/>
      <c r="B126" s="161"/>
      <c r="C126" s="168" t="s">
        <v>204</v>
      </c>
      <c r="D126" s="169">
        <f>TRUNC((SUM(D121:D125)),2)</f>
        <v>3974.11</v>
      </c>
    </row>
    <row r="127" ht="15.75"/>
    <row r="128" spans="1:4">
      <c r="A128" s="130" t="s">
        <v>164</v>
      </c>
      <c r="B128" s="131"/>
      <c r="C128" s="131"/>
      <c r="D128" s="131"/>
    </row>
    <row r="129" ht="15.75" spans="1:7">
      <c r="A129" s="152" t="s">
        <v>165</v>
      </c>
      <c r="B129" t="s">
        <v>166</v>
      </c>
      <c r="C129" s="153" t="s">
        <v>38</v>
      </c>
      <c r="D129" s="153" t="s">
        <v>19</v>
      </c>
      <c r="F129" s="191" t="s">
        <v>224</v>
      </c>
      <c r="G129" s="191"/>
    </row>
    <row r="130" ht="15.75" spans="1:7">
      <c r="A130" s="152" t="s">
        <v>42</v>
      </c>
      <c r="B130" t="s">
        <v>167</v>
      </c>
      <c r="C130" s="192">
        <v>0.05</v>
      </c>
      <c r="D130" s="155">
        <f>TRUNC(($D$126*C130),2)</f>
        <v>198.7</v>
      </c>
      <c r="F130" s="193" t="s">
        <v>225</v>
      </c>
      <c r="G130" s="178">
        <f>C132</f>
        <v>0.0865</v>
      </c>
    </row>
    <row r="131" ht="15.75" spans="1:7">
      <c r="A131" s="152" t="s">
        <v>45</v>
      </c>
      <c r="B131" t="s">
        <v>59</v>
      </c>
      <c r="C131" s="192">
        <v>0.0462</v>
      </c>
      <c r="D131" s="155">
        <f>TRUNC((C131*(D126+D130)),2)</f>
        <v>192.78</v>
      </c>
      <c r="F131" s="194" t="s">
        <v>226</v>
      </c>
      <c r="G131" s="204">
        <f>TRUNC(SUM(D126,D130,D131),2)</f>
        <v>4365.59</v>
      </c>
    </row>
    <row r="132" ht="15.75" spans="1:7">
      <c r="A132" s="152" t="s">
        <v>48</v>
      </c>
      <c r="B132" t="s">
        <v>168</v>
      </c>
      <c r="C132" s="192">
        <f>SUM(C133:C135)</f>
        <v>0.0865</v>
      </c>
      <c r="D132" s="155">
        <f>TRUNC((SUM(D133:D135)),2)</f>
        <v>413.36</v>
      </c>
      <c r="F132" s="193" t="s">
        <v>227</v>
      </c>
      <c r="G132" s="196">
        <f>(100-8.65)/100</f>
        <v>0.9135</v>
      </c>
    </row>
    <row r="133" ht="15.75" spans="1:7">
      <c r="A133" s="152"/>
      <c r="B133" t="s">
        <v>228</v>
      </c>
      <c r="C133" s="171">
        <v>0.0065</v>
      </c>
      <c r="D133" s="155">
        <f t="shared" ref="D133:D135" si="3">TRUNC(($G$133*C133),2)</f>
        <v>31.06</v>
      </c>
      <c r="F133" s="194" t="s">
        <v>224</v>
      </c>
      <c r="G133" s="204">
        <f>TRUNC((G131/G132),2)</f>
        <v>4778.97</v>
      </c>
    </row>
    <row r="134" ht="15.75" spans="1:4">
      <c r="A134" s="152"/>
      <c r="B134" t="s">
        <v>229</v>
      </c>
      <c r="C134" s="171">
        <v>0.03</v>
      </c>
      <c r="D134" s="155">
        <f t="shared" si="3"/>
        <v>143.36</v>
      </c>
    </row>
    <row r="135" spans="1:4">
      <c r="A135" s="152"/>
      <c r="B135" t="s">
        <v>230</v>
      </c>
      <c r="C135" s="171">
        <v>0.05</v>
      </c>
      <c r="D135" s="155">
        <f t="shared" si="3"/>
        <v>238.94</v>
      </c>
    </row>
    <row r="136" spans="1:4">
      <c r="A136" s="152" t="s">
        <v>58</v>
      </c>
      <c r="C136" s="197"/>
      <c r="D136" s="160">
        <f>TRUNC(SUM(D130:D132),2)</f>
        <v>804.84</v>
      </c>
    </row>
    <row r="137" spans="1:4">
      <c r="A137" s="152"/>
      <c r="C137" s="197"/>
      <c r="D137" s="160"/>
    </row>
    <row r="139" spans="1:4">
      <c r="A139" s="130" t="s">
        <v>172</v>
      </c>
      <c r="B139" s="131"/>
      <c r="C139" s="131"/>
      <c r="D139" s="131"/>
    </row>
    <row r="140" spans="1:4">
      <c r="A140" s="152" t="s">
        <v>16</v>
      </c>
      <c r="B140" s="153" t="s">
        <v>173</v>
      </c>
      <c r="C140" s="153" t="s">
        <v>102</v>
      </c>
      <c r="D140" s="153" t="s">
        <v>19</v>
      </c>
    </row>
    <row r="141" spans="1:4">
      <c r="A141" s="152" t="s">
        <v>42</v>
      </c>
      <c r="B141" t="s">
        <v>36</v>
      </c>
      <c r="D141" s="160">
        <f>D31</f>
        <v>1716.86</v>
      </c>
    </row>
    <row r="142" spans="1:4">
      <c r="A142" s="152" t="s">
        <v>45</v>
      </c>
      <c r="B142" t="s">
        <v>61</v>
      </c>
      <c r="D142" s="160">
        <f>D73</f>
        <v>1718.75</v>
      </c>
    </row>
    <row r="143" spans="1:4">
      <c r="A143" s="152" t="s">
        <v>48</v>
      </c>
      <c r="B143" t="s">
        <v>108</v>
      </c>
      <c r="D143" s="160">
        <f>D83</f>
        <v>103.73</v>
      </c>
    </row>
    <row r="144" spans="1:4">
      <c r="A144" s="152" t="s">
        <v>50</v>
      </c>
      <c r="B144" t="s">
        <v>174</v>
      </c>
      <c r="D144" s="160">
        <f>D110</f>
        <v>119.27</v>
      </c>
    </row>
    <row r="145" spans="1:4">
      <c r="A145" s="152" t="s">
        <v>53</v>
      </c>
      <c r="B145" t="s">
        <v>152</v>
      </c>
      <c r="D145" s="160">
        <f>D119</f>
        <v>315.5</v>
      </c>
    </row>
    <row r="146" spans="2:4">
      <c r="B146" s="198" t="s">
        <v>231</v>
      </c>
      <c r="D146" s="160">
        <f>TRUNC(SUM(D141:D145),2)</f>
        <v>3974.11</v>
      </c>
    </row>
    <row r="147" spans="1:4">
      <c r="A147" s="152" t="s">
        <v>55</v>
      </c>
      <c r="B147" t="s">
        <v>164</v>
      </c>
      <c r="D147" s="160">
        <f>D136</f>
        <v>804.84</v>
      </c>
    </row>
    <row r="148" spans="1:4">
      <c r="A148" s="199"/>
      <c r="B148" s="200" t="s">
        <v>232</v>
      </c>
      <c r="C148" s="201"/>
      <c r="D148" s="202">
        <f>TRUNC((SUM(D141:D145)+D147),2)</f>
        <v>4778.95</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A128:D128"/>
    <mergeCell ref="F129:G129"/>
    <mergeCell ref="A139:D139"/>
    <mergeCell ref="A41:B43"/>
    <mergeCell ref="A85:B88"/>
    <mergeCell ref="A121:B126"/>
  </mergeCells>
  <pageMargins left="0.75" right="0.75" top="1" bottom="1" header="0.5" footer="0.5"/>
  <pageSetup paperSize="9" scale="90"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1"/>
  <sheetViews>
    <sheetView topLeftCell="A69" workbookViewId="0">
      <selection activeCell="F145" sqref="F145"/>
    </sheetView>
  </sheetViews>
  <sheetFormatPr defaultColWidth="9.14285714285714" defaultRowHeight="15" outlineLevelCol="6"/>
  <cols>
    <col min="1" max="1" width="13.4285714285714" customWidth="1"/>
    <col min="2" max="2" width="55.5714285714286" customWidth="1"/>
    <col min="3" max="3" width="20.2857142857143" customWidth="1"/>
    <col min="4" max="4" width="38.4285714285714" customWidth="1"/>
    <col min="6" max="6" width="20.4285714285714" customWidth="1"/>
    <col min="7" max="7" width="13.7142857142857" customWidth="1"/>
    <col min="8" max="8" width="10" customWidth="1"/>
    <col min="9" max="9" width="11.4285714285714" customWidth="1"/>
  </cols>
  <sheetData>
    <row r="1" spans="1:1">
      <c r="A1" s="106"/>
    </row>
    <row r="2" ht="19.5" spans="1:4">
      <c r="A2" s="121" t="s">
        <v>177</v>
      </c>
      <c r="B2" s="122"/>
      <c r="C2" s="122"/>
      <c r="D2" s="122"/>
    </row>
    <row r="3" ht="15.75" spans="1:4">
      <c r="A3" s="123" t="s">
        <v>178</v>
      </c>
      <c r="B3" s="124"/>
      <c r="C3" s="124"/>
      <c r="D3" s="124"/>
    </row>
    <row r="4" spans="1:4">
      <c r="A4" s="203" t="s">
        <v>179</v>
      </c>
      <c r="B4" s="126" t="s">
        <v>180</v>
      </c>
      <c r="C4" s="127"/>
      <c r="D4" s="127"/>
    </row>
    <row r="5" spans="1:4">
      <c r="A5" s="128"/>
      <c r="B5" s="129"/>
      <c r="C5" s="129"/>
      <c r="D5" s="129"/>
    </row>
    <row r="6" ht="15.75" spans="1:4">
      <c r="A6" s="130" t="s">
        <v>181</v>
      </c>
      <c r="B6" s="131"/>
      <c r="C6" s="131"/>
      <c r="D6" s="131"/>
    </row>
    <row r="7" ht="15.75" spans="1:4">
      <c r="A7" s="132" t="s">
        <v>42</v>
      </c>
      <c r="B7" s="133" t="s">
        <v>182</v>
      </c>
      <c r="C7" s="134" t="s">
        <v>183</v>
      </c>
      <c r="D7" s="134"/>
    </row>
    <row r="8" spans="1:4">
      <c r="A8" s="135" t="s">
        <v>45</v>
      </c>
      <c r="B8" s="136" t="s">
        <v>184</v>
      </c>
      <c r="C8" s="137" t="s">
        <v>185</v>
      </c>
      <c r="D8" s="137"/>
    </row>
    <row r="9" spans="1:4">
      <c r="A9" s="138" t="s">
        <v>48</v>
      </c>
      <c r="B9" s="139" t="s">
        <v>186</v>
      </c>
      <c r="C9" s="137" t="s">
        <v>187</v>
      </c>
      <c r="D9" s="137"/>
    </row>
    <row r="10" spans="1:4">
      <c r="A10" s="135" t="s">
        <v>53</v>
      </c>
      <c r="B10" s="136" t="s">
        <v>188</v>
      </c>
      <c r="C10" s="137" t="s">
        <v>189</v>
      </c>
      <c r="D10" s="137"/>
    </row>
    <row r="11" ht="15.75" spans="1:4">
      <c r="A11" s="140" t="s">
        <v>190</v>
      </c>
      <c r="B11" s="141"/>
      <c r="C11" s="141"/>
      <c r="D11" s="141"/>
    </row>
    <row r="12" ht="16.5" spans="1:4">
      <c r="A12" s="142" t="s">
        <v>191</v>
      </c>
      <c r="B12" s="143"/>
      <c r="C12" s="141" t="s">
        <v>192</v>
      </c>
      <c r="D12" s="144" t="s">
        <v>193</v>
      </c>
    </row>
    <row r="13" ht="15.75" spans="1:4">
      <c r="A13" s="145" t="s">
        <v>243</v>
      </c>
      <c r="B13" s="146"/>
      <c r="C13" s="137" t="s">
        <v>195</v>
      </c>
      <c r="D13" s="147">
        <f>RESUMO!D9</f>
        <v>1</v>
      </c>
    </row>
    <row r="14" spans="1:4">
      <c r="A14" s="148"/>
      <c r="B14" s="149"/>
      <c r="C14" s="137"/>
      <c r="D14" s="150"/>
    </row>
    <row r="15" ht="15.75" spans="1:7">
      <c r="A15" s="140" t="s">
        <v>14</v>
      </c>
      <c r="B15" s="141"/>
      <c r="C15" s="141"/>
      <c r="D15" s="141"/>
      <c r="F15" s="151"/>
      <c r="G15" s="151"/>
    </row>
    <row r="16" ht="15.75" spans="1:4">
      <c r="A16" s="152" t="s">
        <v>16</v>
      </c>
      <c r="B16" t="s">
        <v>17</v>
      </c>
      <c r="C16" s="153" t="s">
        <v>18</v>
      </c>
      <c r="D16" s="153" t="s">
        <v>19</v>
      </c>
    </row>
    <row r="17" spans="1:4">
      <c r="A17" s="152">
        <v>1</v>
      </c>
      <c r="B17" t="s">
        <v>20</v>
      </c>
      <c r="C17" s="154" t="s">
        <v>102</v>
      </c>
      <c r="D17" s="154" t="str">
        <f>A13</f>
        <v>Auxiliar de Manutenção Predial</v>
      </c>
    </row>
    <row r="18" spans="1:4">
      <c r="A18" s="152">
        <v>2</v>
      </c>
      <c r="B18" t="s">
        <v>23</v>
      </c>
      <c r="C18" s="154" t="s">
        <v>196</v>
      </c>
      <c r="D18" s="154" t="s">
        <v>244</v>
      </c>
    </row>
    <row r="19" spans="1:4">
      <c r="A19" s="152">
        <v>3</v>
      </c>
      <c r="B19" t="s">
        <v>26</v>
      </c>
      <c r="C19" s="154" t="str">
        <f>C9</f>
        <v>CCT PB000071/2023</v>
      </c>
      <c r="D19" s="155">
        <v>1716.86</v>
      </c>
    </row>
    <row r="20" spans="1:4">
      <c r="A20" s="152">
        <v>4</v>
      </c>
      <c r="B20" t="s">
        <v>29</v>
      </c>
      <c r="C20" s="154" t="str">
        <f>C9</f>
        <v>CCT PB000071/2023</v>
      </c>
      <c r="D20" s="156" t="s">
        <v>198</v>
      </c>
    </row>
    <row r="21" spans="1:4">
      <c r="A21" s="152">
        <v>5</v>
      </c>
      <c r="B21" t="s">
        <v>33</v>
      </c>
      <c r="C21" s="154" t="str">
        <f>C9</f>
        <v>CCT PB000071/2023</v>
      </c>
      <c r="D21" s="157" t="s">
        <v>199</v>
      </c>
    </row>
    <row r="22" spans="1:7">
      <c r="A22" s="106"/>
      <c r="F22" s="151"/>
      <c r="G22" s="151"/>
    </row>
    <row r="23" spans="1:4">
      <c r="A23" s="130" t="s">
        <v>36</v>
      </c>
      <c r="B23" s="131"/>
      <c r="C23" s="131"/>
      <c r="D23" s="131"/>
    </row>
    <row r="24" spans="1:7">
      <c r="A24" s="152" t="s">
        <v>39</v>
      </c>
      <c r="B24" s="158" t="s">
        <v>40</v>
      </c>
      <c r="C24" s="153" t="s">
        <v>18</v>
      </c>
      <c r="D24" s="153" t="s">
        <v>19</v>
      </c>
      <c r="G24" s="159"/>
    </row>
    <row r="25" spans="1:7">
      <c r="A25" s="152" t="s">
        <v>42</v>
      </c>
      <c r="B25" t="s">
        <v>43</v>
      </c>
      <c r="C25" s="156" t="s">
        <v>200</v>
      </c>
      <c r="D25" s="155">
        <f>D19</f>
        <v>1716.86</v>
      </c>
      <c r="G25" s="159"/>
    </row>
    <row r="26" spans="1:7">
      <c r="A26" s="152" t="s">
        <v>45</v>
      </c>
      <c r="B26" t="s">
        <v>46</v>
      </c>
      <c r="C26" s="156"/>
      <c r="D26" s="155">
        <v>0</v>
      </c>
      <c r="G26" s="159"/>
    </row>
    <row r="27" spans="1:4">
      <c r="A27" s="152" t="s">
        <v>48</v>
      </c>
      <c r="B27" t="s">
        <v>49</v>
      </c>
      <c r="C27" s="156"/>
      <c r="D27" s="155">
        <v>0</v>
      </c>
    </row>
    <row r="28" spans="1:4">
      <c r="A28" s="152" t="s">
        <v>50</v>
      </c>
      <c r="B28" t="s">
        <v>51</v>
      </c>
      <c r="C28" s="156"/>
      <c r="D28" s="155">
        <v>0</v>
      </c>
    </row>
    <row r="29" spans="1:4">
      <c r="A29" s="152" t="s">
        <v>53</v>
      </c>
      <c r="B29" t="s">
        <v>54</v>
      </c>
      <c r="C29" s="156"/>
      <c r="D29" s="155">
        <v>0</v>
      </c>
    </row>
    <row r="30" spans="1:4">
      <c r="A30" s="152" t="s">
        <v>55</v>
      </c>
      <c r="B30" t="s">
        <v>56</v>
      </c>
      <c r="C30" s="156"/>
      <c r="D30" s="155">
        <v>0</v>
      </c>
    </row>
    <row r="31" spans="1:7">
      <c r="A31" s="152" t="s">
        <v>58</v>
      </c>
      <c r="C31" s="153"/>
      <c r="D31" s="160">
        <f>TRUNC(SUM(D25:D30),2)</f>
        <v>1716.86</v>
      </c>
      <c r="F31" s="151"/>
      <c r="G31" s="151"/>
    </row>
    <row r="32" spans="1:1">
      <c r="A32" s="106"/>
    </row>
    <row r="33" spans="1:7">
      <c r="A33" s="161" t="s">
        <v>61</v>
      </c>
      <c r="B33" s="162"/>
      <c r="C33" s="162"/>
      <c r="D33" s="162"/>
      <c r="G33" s="159"/>
    </row>
    <row r="34" spans="1:1">
      <c r="A34" s="106"/>
    </row>
    <row r="35" spans="1:4">
      <c r="A35" s="163" t="s">
        <v>63</v>
      </c>
      <c r="B35" s="151"/>
      <c r="C35" s="151"/>
      <c r="D35" s="151"/>
    </row>
    <row r="36" spans="1:4">
      <c r="A36" s="152" t="s">
        <v>65</v>
      </c>
      <c r="B36" s="158" t="s">
        <v>66</v>
      </c>
      <c r="C36" s="153" t="s">
        <v>38</v>
      </c>
      <c r="D36" s="153" t="s">
        <v>19</v>
      </c>
    </row>
    <row r="37" spans="1:7">
      <c r="A37" s="152" t="s">
        <v>42</v>
      </c>
      <c r="B37" t="s">
        <v>67</v>
      </c>
      <c r="C37" s="164">
        <f>(1/12)</f>
        <v>0.0833333333333333</v>
      </c>
      <c r="D37" s="160">
        <f>TRUNC($D$31*C37,2)</f>
        <v>143.07</v>
      </c>
      <c r="F37" s="165"/>
      <c r="G37" s="165"/>
    </row>
    <row r="38" spans="1:7">
      <c r="A38" s="152" t="s">
        <v>45</v>
      </c>
      <c r="B38" t="s">
        <v>68</v>
      </c>
      <c r="C38" s="164">
        <f>(((1+1/3)/12))</f>
        <v>0.111111111111111</v>
      </c>
      <c r="D38" s="160">
        <f>TRUNC($D$31*C38,2)</f>
        <v>190.76</v>
      </c>
      <c r="F38" s="165"/>
      <c r="G38" s="165"/>
    </row>
    <row r="39" spans="1:7">
      <c r="A39" s="152" t="s">
        <v>58</v>
      </c>
      <c r="D39" s="160">
        <f>TRUNC((SUM(D37:D38)),2)</f>
        <v>333.83</v>
      </c>
      <c r="F39" s="165"/>
      <c r="G39" s="165"/>
    </row>
    <row r="40" ht="15.75" spans="1:7">
      <c r="A40" s="106"/>
      <c r="D40" s="160"/>
      <c r="F40" s="165"/>
      <c r="G40" s="165"/>
    </row>
    <row r="41" ht="16.5" spans="1:7">
      <c r="A41" s="161" t="s">
        <v>201</v>
      </c>
      <c r="B41" s="161"/>
      <c r="C41" s="166" t="s">
        <v>202</v>
      </c>
      <c r="D41" s="167">
        <f>D31</f>
        <v>1716.86</v>
      </c>
      <c r="F41" s="165"/>
      <c r="G41" s="165"/>
    </row>
    <row r="42" ht="16.5" spans="1:7">
      <c r="A42" s="161"/>
      <c r="B42" s="161"/>
      <c r="C42" s="168" t="s">
        <v>203</v>
      </c>
      <c r="D42" s="167">
        <f>D39</f>
        <v>333.83</v>
      </c>
      <c r="F42" s="165"/>
      <c r="G42" s="165"/>
    </row>
    <row r="43" ht="16.5" spans="1:7">
      <c r="A43" s="161"/>
      <c r="B43" s="161"/>
      <c r="C43" s="166" t="s">
        <v>204</v>
      </c>
      <c r="D43" s="169">
        <f>TRUNC((SUM(D41:D42)),2)</f>
        <v>2050.69</v>
      </c>
      <c r="F43" s="165"/>
      <c r="G43" s="165"/>
    </row>
    <row r="44" ht="15.75" spans="1:7">
      <c r="A44" s="152"/>
      <c r="C44" s="170"/>
      <c r="D44" s="160"/>
      <c r="F44" s="165"/>
      <c r="G44" s="165"/>
    </row>
    <row r="45" spans="1:4">
      <c r="A45" s="163" t="s">
        <v>77</v>
      </c>
      <c r="B45" s="151"/>
      <c r="C45" s="151"/>
      <c r="D45" s="151"/>
    </row>
    <row r="46" spans="1:4">
      <c r="A46" s="152" t="s">
        <v>78</v>
      </c>
      <c r="B46" s="158" t="s">
        <v>79</v>
      </c>
      <c r="C46" s="153" t="s">
        <v>38</v>
      </c>
      <c r="D46" s="153" t="s">
        <v>80</v>
      </c>
    </row>
    <row r="47" spans="1:4">
      <c r="A47" s="152" t="s">
        <v>42</v>
      </c>
      <c r="B47" t="s">
        <v>81</v>
      </c>
      <c r="C47" s="164">
        <v>0.2</v>
      </c>
      <c r="D47" s="160">
        <f t="shared" ref="D47:D54" si="0">TRUNC(($D$43*C47),2)</f>
        <v>410.13</v>
      </c>
    </row>
    <row r="48" spans="1:4">
      <c r="A48" s="152" t="s">
        <v>45</v>
      </c>
      <c r="B48" t="s">
        <v>82</v>
      </c>
      <c r="C48" s="164">
        <v>0.025</v>
      </c>
      <c r="D48" s="160">
        <f t="shared" si="0"/>
        <v>51.26</v>
      </c>
    </row>
    <row r="49" spans="1:4">
      <c r="A49" s="152" t="s">
        <v>48</v>
      </c>
      <c r="B49" t="s">
        <v>205</v>
      </c>
      <c r="C49" s="171">
        <v>0.06</v>
      </c>
      <c r="D49" s="155">
        <f t="shared" si="0"/>
        <v>123.04</v>
      </c>
    </row>
    <row r="50" spans="1:4">
      <c r="A50" s="152" t="s">
        <v>50</v>
      </c>
      <c r="B50" t="s">
        <v>84</v>
      </c>
      <c r="C50" s="164">
        <v>0.015</v>
      </c>
      <c r="D50" s="160">
        <f t="shared" si="0"/>
        <v>30.76</v>
      </c>
    </row>
    <row r="51" spans="1:4">
      <c r="A51" s="152" t="s">
        <v>53</v>
      </c>
      <c r="B51" t="s">
        <v>85</v>
      </c>
      <c r="C51" s="164">
        <v>0.01</v>
      </c>
      <c r="D51" s="160">
        <f t="shared" si="0"/>
        <v>20.5</v>
      </c>
    </row>
    <row r="52" spans="1:4">
      <c r="A52" s="152" t="s">
        <v>55</v>
      </c>
      <c r="B52" t="s">
        <v>86</v>
      </c>
      <c r="C52" s="164">
        <v>0.006</v>
      </c>
      <c r="D52" s="160">
        <f t="shared" si="0"/>
        <v>12.3</v>
      </c>
    </row>
    <row r="53" spans="1:4">
      <c r="A53" s="152" t="s">
        <v>87</v>
      </c>
      <c r="B53" t="s">
        <v>88</v>
      </c>
      <c r="C53" s="164">
        <v>0.002</v>
      </c>
      <c r="D53" s="160">
        <f t="shared" si="0"/>
        <v>4.1</v>
      </c>
    </row>
    <row r="54" spans="1:4">
      <c r="A54" s="152" t="s">
        <v>89</v>
      </c>
      <c r="B54" t="s">
        <v>90</v>
      </c>
      <c r="C54" s="164">
        <v>0.08</v>
      </c>
      <c r="D54" s="160">
        <f t="shared" si="0"/>
        <v>164.05</v>
      </c>
    </row>
    <row r="55" spans="1:4">
      <c r="A55" s="152" t="s">
        <v>58</v>
      </c>
      <c r="C55" s="170">
        <f>SUM(C47:C54)</f>
        <v>0.398</v>
      </c>
      <c r="D55" s="160">
        <f>TRUNC((SUM(D47:D54)),2)</f>
        <v>816.14</v>
      </c>
    </row>
    <row r="56" spans="1:4">
      <c r="A56" s="152"/>
      <c r="C56" s="170"/>
      <c r="D56" s="160"/>
    </row>
    <row r="57" spans="1:4">
      <c r="A57" s="163" t="s">
        <v>95</v>
      </c>
      <c r="B57" s="151"/>
      <c r="C57" s="151"/>
      <c r="D57" s="151"/>
    </row>
    <row r="58" spans="1:4">
      <c r="A58" s="152" t="s">
        <v>96</v>
      </c>
      <c r="B58" s="158" t="s">
        <v>97</v>
      </c>
      <c r="C58" s="153" t="s">
        <v>18</v>
      </c>
      <c r="D58" s="153" t="s">
        <v>19</v>
      </c>
    </row>
    <row r="59" spans="1:4">
      <c r="A59" s="152" t="s">
        <v>42</v>
      </c>
      <c r="B59" t="s">
        <v>98</v>
      </c>
      <c r="C59" s="154"/>
      <c r="D59" s="172">
        <v>0</v>
      </c>
    </row>
    <row r="60" spans="1:4">
      <c r="A60" s="152" t="s">
        <v>45</v>
      </c>
      <c r="B60" t="s">
        <v>99</v>
      </c>
      <c r="C60" s="154" t="str">
        <f>C9</f>
        <v>CCT PB000071/2023</v>
      </c>
      <c r="D60" s="155">
        <f>TRUNC((((500))-(((500))*0.2)),2)</f>
        <v>400</v>
      </c>
    </row>
    <row r="61" spans="1:4">
      <c r="A61" s="152" t="s">
        <v>48</v>
      </c>
      <c r="B61" t="s">
        <v>100</v>
      </c>
      <c r="C61" s="154"/>
      <c r="D61" s="155">
        <v>0</v>
      </c>
    </row>
    <row r="62" spans="1:6">
      <c r="A62" s="152" t="s">
        <v>50</v>
      </c>
      <c r="B62" s="173" t="s">
        <v>206</v>
      </c>
      <c r="C62" s="174"/>
      <c r="D62" s="174">
        <v>0</v>
      </c>
      <c r="F62" s="173"/>
    </row>
    <row r="63" spans="1:4">
      <c r="A63" s="152" t="s">
        <v>53</v>
      </c>
      <c r="B63" s="158" t="s">
        <v>207</v>
      </c>
      <c r="C63" s="154" t="str">
        <f>C60</f>
        <v>CCT PB000071/2023</v>
      </c>
      <c r="D63" s="155">
        <v>20</v>
      </c>
    </row>
    <row r="64" spans="1:4">
      <c r="A64" s="152" t="s">
        <v>55</v>
      </c>
      <c r="B64" s="175" t="s">
        <v>208</v>
      </c>
      <c r="C64" s="154" t="str">
        <f>C9</f>
        <v>CCT PB000071/2023</v>
      </c>
      <c r="D64" s="155">
        <v>5</v>
      </c>
    </row>
    <row r="65" spans="1:4">
      <c r="A65" s="152" t="s">
        <v>87</v>
      </c>
      <c r="B65" s="175" t="s">
        <v>209</v>
      </c>
      <c r="C65" s="174" t="str">
        <f>C60</f>
        <v>CCT PB000071/2023</v>
      </c>
      <c r="D65" s="155">
        <v>40</v>
      </c>
    </row>
    <row r="66" spans="1:4">
      <c r="A66" s="152" t="s">
        <v>58</v>
      </c>
      <c r="D66" s="160">
        <f>TRUNC((SUM(D59:D65)),2)</f>
        <v>465</v>
      </c>
    </row>
    <row r="67" spans="1:4">
      <c r="A67" s="152"/>
      <c r="D67" s="160"/>
    </row>
    <row r="68" spans="1:4">
      <c r="A68" s="163" t="s">
        <v>105</v>
      </c>
      <c r="B68" s="151"/>
      <c r="C68" s="151"/>
      <c r="D68" s="151"/>
    </row>
    <row r="69" spans="1:4">
      <c r="A69" s="152" t="s">
        <v>106</v>
      </c>
      <c r="B69" s="158" t="s">
        <v>107</v>
      </c>
      <c r="C69" s="153" t="s">
        <v>18</v>
      </c>
      <c r="D69" s="153" t="s">
        <v>19</v>
      </c>
    </row>
    <row r="70" spans="1:4">
      <c r="A70" s="152" t="s">
        <v>65</v>
      </c>
      <c r="B70" t="s">
        <v>66</v>
      </c>
      <c r="C70" s="153"/>
      <c r="D70" s="160">
        <f>D39</f>
        <v>333.83</v>
      </c>
    </row>
    <row r="71" spans="1:4">
      <c r="A71" s="152" t="s">
        <v>78</v>
      </c>
      <c r="B71" t="s">
        <v>79</v>
      </c>
      <c r="C71" s="153"/>
      <c r="D71" s="160">
        <f>D55</f>
        <v>816.14</v>
      </c>
    </row>
    <row r="72" spans="1:4">
      <c r="A72" s="152" t="s">
        <v>96</v>
      </c>
      <c r="B72" t="s">
        <v>97</v>
      </c>
      <c r="C72" s="153"/>
      <c r="D72" s="160">
        <f>D66</f>
        <v>465</v>
      </c>
    </row>
    <row r="73" spans="1:4">
      <c r="A73" s="152" t="s">
        <v>58</v>
      </c>
      <c r="C73" s="153"/>
      <c r="D73" s="160">
        <f>TRUNC(SUM(D70:D72),2)</f>
        <v>1614.97</v>
      </c>
    </row>
    <row r="74" spans="1:1">
      <c r="A74" s="106"/>
    </row>
    <row r="75" spans="1:4">
      <c r="A75" s="130" t="s">
        <v>108</v>
      </c>
      <c r="B75" s="131"/>
      <c r="C75" s="131"/>
      <c r="D75" s="131"/>
    </row>
    <row r="76" spans="1:4">
      <c r="A76" s="152" t="s">
        <v>109</v>
      </c>
      <c r="B76" s="158" t="s">
        <v>110</v>
      </c>
      <c r="C76" s="153" t="s">
        <v>38</v>
      </c>
      <c r="D76" s="153" t="s">
        <v>19</v>
      </c>
    </row>
    <row r="77" spans="1:4">
      <c r="A77" s="152" t="s">
        <v>42</v>
      </c>
      <c r="B77" t="s">
        <v>111</v>
      </c>
      <c r="C77" s="171">
        <f>((1/12)*2%)</f>
        <v>0.00166666666666667</v>
      </c>
      <c r="D77" s="155">
        <f t="shared" ref="D77:D80" si="1">TRUNC(($D$31*C77),2)</f>
        <v>2.86</v>
      </c>
    </row>
    <row r="78" spans="1:4">
      <c r="A78" s="152" t="s">
        <v>45</v>
      </c>
      <c r="B78" t="s">
        <v>112</v>
      </c>
      <c r="C78" s="176">
        <v>0.08</v>
      </c>
      <c r="D78" s="160">
        <f>TRUNC(($D$77*C78),2)</f>
        <v>0.22</v>
      </c>
    </row>
    <row r="79" ht="30" spans="1:4">
      <c r="A79" s="152" t="s">
        <v>48</v>
      </c>
      <c r="B79" s="177" t="s">
        <v>113</v>
      </c>
      <c r="C79" s="178">
        <f>(0.08*0.4*0.02)</f>
        <v>0.00064</v>
      </c>
      <c r="D79" s="174">
        <f t="shared" si="1"/>
        <v>1.09</v>
      </c>
    </row>
    <row r="80" spans="1:4">
      <c r="A80" s="152" t="s">
        <v>50</v>
      </c>
      <c r="B80" t="s">
        <v>114</v>
      </c>
      <c r="C80" s="176">
        <f>(((7/30)/12)*0.98)</f>
        <v>0.0190555555555556</v>
      </c>
      <c r="D80" s="160">
        <f t="shared" si="1"/>
        <v>32.71</v>
      </c>
    </row>
    <row r="81" ht="30" spans="1:4">
      <c r="A81" s="152" t="s">
        <v>53</v>
      </c>
      <c r="B81" s="177" t="s">
        <v>210</v>
      </c>
      <c r="C81" s="178">
        <f>C55</f>
        <v>0.398</v>
      </c>
      <c r="D81" s="174">
        <f>TRUNC(($D$80*C81),2)</f>
        <v>13.01</v>
      </c>
    </row>
    <row r="82" ht="30" spans="1:4">
      <c r="A82" s="152" t="s">
        <v>55</v>
      </c>
      <c r="B82" s="177" t="s">
        <v>115</v>
      </c>
      <c r="C82" s="178">
        <f>(0.08*0.4*0.98)</f>
        <v>0.03136</v>
      </c>
      <c r="D82" s="174">
        <f>TRUNC(($D$31*C82),2)</f>
        <v>53.84</v>
      </c>
    </row>
    <row r="83" spans="1:4">
      <c r="A83" s="152" t="s">
        <v>58</v>
      </c>
      <c r="C83" s="176">
        <f>SUM(C77:C82)</f>
        <v>0.530722222222222</v>
      </c>
      <c r="D83" s="160">
        <f>TRUNC((SUM(D77:D82)),2)</f>
        <v>103.73</v>
      </c>
    </row>
    <row r="84" ht="15.75" spans="1:4">
      <c r="A84" s="152"/>
      <c r="D84" s="160"/>
    </row>
    <row r="85" ht="16.5" spans="1:4">
      <c r="A85" s="161" t="s">
        <v>211</v>
      </c>
      <c r="B85" s="161"/>
      <c r="C85" s="166" t="s">
        <v>202</v>
      </c>
      <c r="D85" s="167">
        <f>D31</f>
        <v>1716.86</v>
      </c>
    </row>
    <row r="86" ht="16.5" spans="1:4">
      <c r="A86" s="161"/>
      <c r="B86" s="161"/>
      <c r="C86" s="168" t="s">
        <v>212</v>
      </c>
      <c r="D86" s="167">
        <f>D73</f>
        <v>1614.97</v>
      </c>
    </row>
    <row r="87" ht="16.5" spans="1:4">
      <c r="A87" s="161"/>
      <c r="B87" s="161"/>
      <c r="C87" s="166" t="s">
        <v>213</v>
      </c>
      <c r="D87" s="167">
        <f>D83</f>
        <v>103.73</v>
      </c>
    </row>
    <row r="88" ht="16.5" spans="1:4">
      <c r="A88" s="161"/>
      <c r="B88" s="161"/>
      <c r="C88" s="168" t="s">
        <v>204</v>
      </c>
      <c r="D88" s="169">
        <f>TRUNC((SUM(D85:D87)),2)</f>
        <v>3435.56</v>
      </c>
    </row>
    <row r="89" ht="15.75" spans="1:4">
      <c r="A89" s="152"/>
      <c r="D89" s="160"/>
    </row>
    <row r="90" spans="1:4">
      <c r="A90" s="179" t="s">
        <v>127</v>
      </c>
      <c r="B90" s="180"/>
      <c r="C90" s="180"/>
      <c r="D90" s="180"/>
    </row>
    <row r="91" spans="1:4">
      <c r="A91" s="163" t="s">
        <v>128</v>
      </c>
      <c r="B91" s="151"/>
      <c r="C91" s="151"/>
      <c r="D91" s="151"/>
    </row>
    <row r="92" spans="1:4">
      <c r="A92" s="152" t="s">
        <v>129</v>
      </c>
      <c r="B92" s="158" t="s">
        <v>130</v>
      </c>
      <c r="C92" s="153" t="s">
        <v>38</v>
      </c>
      <c r="D92" s="153" t="s">
        <v>19</v>
      </c>
    </row>
    <row r="93" spans="1:4">
      <c r="A93" s="152" t="s">
        <v>42</v>
      </c>
      <c r="B93" t="s">
        <v>132</v>
      </c>
      <c r="C93" s="176">
        <f>(((1+1/3)/12)/12)+((1/12)/12)</f>
        <v>0.0162037037037037</v>
      </c>
      <c r="D93" s="160">
        <f t="shared" ref="D93:D97" si="2">TRUNC(($D$88*C93),2)</f>
        <v>55.66</v>
      </c>
    </row>
    <row r="94" spans="1:4">
      <c r="A94" s="152" t="s">
        <v>45</v>
      </c>
      <c r="B94" t="s">
        <v>133</v>
      </c>
      <c r="C94" s="171">
        <f>((5/30)/12)</f>
        <v>0.0138888888888889</v>
      </c>
      <c r="D94" s="174">
        <f t="shared" si="2"/>
        <v>47.71</v>
      </c>
    </row>
    <row r="95" spans="1:4">
      <c r="A95" s="152" t="s">
        <v>48</v>
      </c>
      <c r="B95" t="s">
        <v>134</v>
      </c>
      <c r="C95" s="171">
        <f>((5/30)/12)*0.02</f>
        <v>0.000277777777777778</v>
      </c>
      <c r="D95" s="174">
        <f t="shared" si="2"/>
        <v>0.95</v>
      </c>
    </row>
    <row r="96" spans="1:4">
      <c r="A96" s="152" t="s">
        <v>50</v>
      </c>
      <c r="B96" s="177" t="s">
        <v>135</v>
      </c>
      <c r="C96" s="178">
        <f>((15/30)/12)*0.08</f>
        <v>0.00333333333333333</v>
      </c>
      <c r="D96" s="174">
        <f t="shared" si="2"/>
        <v>11.45</v>
      </c>
    </row>
    <row r="97" spans="1:4">
      <c r="A97" s="152" t="s">
        <v>53</v>
      </c>
      <c r="B97" t="s">
        <v>136</v>
      </c>
      <c r="C97" s="171">
        <f>((1+1/3)/12)*0.00001*((4/12))</f>
        <v>3.7037037037037e-7</v>
      </c>
      <c r="D97" s="174">
        <f t="shared" si="2"/>
        <v>0</v>
      </c>
    </row>
    <row r="98" spans="1:4">
      <c r="A98" s="152" t="s">
        <v>55</v>
      </c>
      <c r="B98" s="177" t="s">
        <v>214</v>
      </c>
      <c r="C98" s="181">
        <v>0</v>
      </c>
      <c r="D98" s="174">
        <f>TRUNC($D$88*C98)</f>
        <v>0</v>
      </c>
    </row>
    <row r="99" spans="1:4">
      <c r="A99" s="152" t="s">
        <v>58</v>
      </c>
      <c r="C99" s="176">
        <f>SUBTOTAL(109,Submódulo4.159_8022[Percentual])</f>
        <v>0.0337040740740741</v>
      </c>
      <c r="D99" s="160">
        <f>TRUNC((SUM(D93:D98)),2)</f>
        <v>115.77</v>
      </c>
    </row>
    <row r="100" spans="1:4">
      <c r="A100" s="152"/>
      <c r="C100" s="153"/>
      <c r="D100" s="160"/>
    </row>
    <row r="101" spans="1:4">
      <c r="A101" s="163" t="s">
        <v>144</v>
      </c>
      <c r="B101" s="151"/>
      <c r="C101" s="151"/>
      <c r="D101" s="151"/>
    </row>
    <row r="102" spans="1:4">
      <c r="A102" s="152" t="s">
        <v>145</v>
      </c>
      <c r="B102" s="158" t="s">
        <v>146</v>
      </c>
      <c r="C102" s="153" t="s">
        <v>18</v>
      </c>
      <c r="D102" s="153" t="s">
        <v>19</v>
      </c>
    </row>
    <row r="103" ht="120" spans="1:4">
      <c r="A103" s="152" t="s">
        <v>42</v>
      </c>
      <c r="B103" s="182" t="s">
        <v>147</v>
      </c>
      <c r="C103" s="183" t="s">
        <v>215</v>
      </c>
      <c r="D103" s="184" t="s">
        <v>216</v>
      </c>
    </row>
    <row r="104" spans="1:4">
      <c r="A104" s="152" t="s">
        <v>58</v>
      </c>
      <c r="C104" s="185"/>
      <c r="D104" s="186" t="str">
        <f>D103</f>
        <v>*=TRUNCAR(($D$86/220)*(1*(365/12))/2)</v>
      </c>
    </row>
    <row r="105" spans="1:1">
      <c r="A105" s="106"/>
    </row>
    <row r="106" spans="1:4">
      <c r="A106" s="163" t="s">
        <v>148</v>
      </c>
      <c r="B106" s="151"/>
      <c r="C106" s="151"/>
      <c r="D106" s="151"/>
    </row>
    <row r="107" spans="1:4">
      <c r="A107" s="152" t="s">
        <v>149</v>
      </c>
      <c r="B107" s="158" t="s">
        <v>150</v>
      </c>
      <c r="C107" s="153" t="s">
        <v>18</v>
      </c>
      <c r="D107" s="153" t="s">
        <v>19</v>
      </c>
    </row>
    <row r="108" spans="1:4">
      <c r="A108" s="152" t="s">
        <v>129</v>
      </c>
      <c r="B108" t="s">
        <v>130</v>
      </c>
      <c r="D108" s="155">
        <f>D99</f>
        <v>115.77</v>
      </c>
    </row>
    <row r="109" spans="1:4">
      <c r="A109" s="152" t="s">
        <v>145</v>
      </c>
      <c r="B109" t="s">
        <v>151</v>
      </c>
      <c r="C109" s="158"/>
      <c r="D109" s="187" t="str">
        <f>Submódulo4.260_8124[[#Totals],[Valor]]</f>
        <v>*=TRUNCAR(($D$86/220)*(1*(365/12))/2)</v>
      </c>
    </row>
    <row r="110" ht="90" spans="1:4">
      <c r="A110" s="152" t="s">
        <v>58</v>
      </c>
      <c r="B110" s="173"/>
      <c r="C110" s="183" t="s">
        <v>217</v>
      </c>
      <c r="D110" s="188">
        <f>TRUNC((SUM(D108:D109)),2)</f>
        <v>115.77</v>
      </c>
    </row>
    <row r="111" spans="1:1">
      <c r="A111" s="106"/>
    </row>
    <row r="112" spans="1:4">
      <c r="A112" s="130" t="s">
        <v>152</v>
      </c>
      <c r="B112" s="131"/>
      <c r="C112" s="131"/>
      <c r="D112" s="131"/>
    </row>
    <row r="113" spans="1:4">
      <c r="A113" s="152" t="s">
        <v>153</v>
      </c>
      <c r="B113" s="158" t="s">
        <v>154</v>
      </c>
      <c r="C113" s="153" t="s">
        <v>18</v>
      </c>
      <c r="D113" s="153" t="s">
        <v>19</v>
      </c>
    </row>
    <row r="114" spans="1:4">
      <c r="A114" s="152" t="s">
        <v>42</v>
      </c>
      <c r="B114" t="s">
        <v>218</v>
      </c>
      <c r="D114" s="189">
        <f>'Uniformes e EPI'!G127</f>
        <v>112.8</v>
      </c>
    </row>
    <row r="115" spans="1:4">
      <c r="A115" s="152" t="s">
        <v>45</v>
      </c>
      <c r="B115" t="s">
        <v>219</v>
      </c>
      <c r="D115" s="189">
        <f>EPC!E21</f>
        <v>12.16</v>
      </c>
    </row>
    <row r="116" spans="1:4">
      <c r="A116" s="152" t="s">
        <v>48</v>
      </c>
      <c r="B116" t="s">
        <v>156</v>
      </c>
      <c r="D116" s="189">
        <f>'Equipamentos e Materiais'!E113</f>
        <v>161.05</v>
      </c>
    </row>
    <row r="117" spans="1:4">
      <c r="A117" s="152" t="s">
        <v>50</v>
      </c>
      <c r="B117" t="s">
        <v>157</v>
      </c>
      <c r="D117" s="189">
        <f>'Equipamentos e Materiais'!F144</f>
        <v>29.49</v>
      </c>
    </row>
    <row r="118" spans="1:4">
      <c r="A118" s="152" t="s">
        <v>53</v>
      </c>
      <c r="B118" t="s">
        <v>220</v>
      </c>
      <c r="D118" s="189">
        <f>H117</f>
        <v>0</v>
      </c>
    </row>
    <row r="119" spans="1:4">
      <c r="A119" s="152" t="s">
        <v>58</v>
      </c>
      <c r="D119" s="190">
        <f>TRUNC(SUM(D114:D118),2)</f>
        <v>315.5</v>
      </c>
    </row>
    <row r="120" ht="15.75" spans="1:1">
      <c r="A120" s="106"/>
    </row>
    <row r="121" ht="16.5" spans="1:4">
      <c r="A121" s="161" t="s">
        <v>221</v>
      </c>
      <c r="B121" s="161"/>
      <c r="C121" s="166" t="s">
        <v>202</v>
      </c>
      <c r="D121" s="167">
        <f>D31</f>
        <v>1716.86</v>
      </c>
    </row>
    <row r="122" ht="16.5" spans="1:4">
      <c r="A122" s="161"/>
      <c r="B122" s="161"/>
      <c r="C122" s="168" t="s">
        <v>212</v>
      </c>
      <c r="D122" s="167">
        <f>D73</f>
        <v>1614.97</v>
      </c>
    </row>
    <row r="123" ht="16.5" spans="1:4">
      <c r="A123" s="161"/>
      <c r="B123" s="161"/>
      <c r="C123" s="166" t="s">
        <v>213</v>
      </c>
      <c r="D123" s="167">
        <f>D83</f>
        <v>103.73</v>
      </c>
    </row>
    <row r="124" ht="16.5" spans="1:4">
      <c r="A124" s="161"/>
      <c r="B124" s="161"/>
      <c r="C124" s="168" t="s">
        <v>222</v>
      </c>
      <c r="D124" s="167">
        <f>D110</f>
        <v>115.77</v>
      </c>
    </row>
    <row r="125" ht="16.5" spans="1:4">
      <c r="A125" s="161"/>
      <c r="B125" s="161"/>
      <c r="C125" s="166" t="s">
        <v>223</v>
      </c>
      <c r="D125" s="167">
        <f>D119</f>
        <v>315.5</v>
      </c>
    </row>
    <row r="126" ht="16.5" spans="1:4">
      <c r="A126" s="161"/>
      <c r="B126" s="161"/>
      <c r="C126" s="168" t="s">
        <v>204</v>
      </c>
      <c r="D126" s="169">
        <f>TRUNC((SUM(D121:D125)),2)</f>
        <v>3866.83</v>
      </c>
    </row>
    <row r="127" ht="15.75" spans="1:1">
      <c r="A127" s="106"/>
    </row>
    <row r="128" spans="1:4">
      <c r="A128" s="130" t="s">
        <v>164</v>
      </c>
      <c r="B128" s="131"/>
      <c r="C128" s="131"/>
      <c r="D128" s="131"/>
    </row>
    <row r="129" ht="15.75" spans="1:7">
      <c r="A129" s="152" t="s">
        <v>165</v>
      </c>
      <c r="B129" t="s">
        <v>166</v>
      </c>
      <c r="C129" s="153" t="s">
        <v>38</v>
      </c>
      <c r="D129" s="153" t="s">
        <v>19</v>
      </c>
      <c r="F129" s="191" t="s">
        <v>224</v>
      </c>
      <c r="G129" s="191"/>
    </row>
    <row r="130" ht="15.75" spans="1:7">
      <c r="A130" s="152" t="s">
        <v>42</v>
      </c>
      <c r="B130" t="s">
        <v>167</v>
      </c>
      <c r="C130" s="192">
        <v>0.05</v>
      </c>
      <c r="D130" s="155">
        <f>TRUNC(($D$126*C130),2)</f>
        <v>193.34</v>
      </c>
      <c r="F130" s="193" t="s">
        <v>225</v>
      </c>
      <c r="G130" s="178">
        <f>C132</f>
        <v>0.0865</v>
      </c>
    </row>
    <row r="131" ht="15.75" spans="1:7">
      <c r="A131" s="152" t="s">
        <v>45</v>
      </c>
      <c r="B131" t="s">
        <v>59</v>
      </c>
      <c r="C131" s="192">
        <v>0.0462</v>
      </c>
      <c r="D131" s="155">
        <f>TRUNC((C131*(D126+D130)),2)</f>
        <v>187.57</v>
      </c>
      <c r="F131" s="194" t="s">
        <v>226</v>
      </c>
      <c r="G131" s="204">
        <f>TRUNC(SUM(D126,D130,D131),2)</f>
        <v>4247.74</v>
      </c>
    </row>
    <row r="132" ht="15.75" spans="1:7">
      <c r="A132" s="152" t="s">
        <v>48</v>
      </c>
      <c r="B132" t="s">
        <v>168</v>
      </c>
      <c r="C132" s="171">
        <f>SUM(C133:C135)</f>
        <v>0.0865</v>
      </c>
      <c r="D132" s="155">
        <f>TRUNC((SUM(D133:D135)),2)</f>
        <v>402.2</v>
      </c>
      <c r="F132" s="193" t="s">
        <v>227</v>
      </c>
      <c r="G132" s="196">
        <f>(100-8.65)/100</f>
        <v>0.9135</v>
      </c>
    </row>
    <row r="133" ht="15.75" spans="1:7">
      <c r="A133" s="152"/>
      <c r="B133" t="s">
        <v>228</v>
      </c>
      <c r="C133" s="171">
        <v>0.0065</v>
      </c>
      <c r="D133" s="155">
        <f t="shared" ref="D133:D135" si="3">TRUNC(($G$133*C133),2)</f>
        <v>30.22</v>
      </c>
      <c r="F133" s="194" t="s">
        <v>224</v>
      </c>
      <c r="G133" s="204">
        <f>TRUNC((G131/G132),2)</f>
        <v>4649.96</v>
      </c>
    </row>
    <row r="134" ht="15.75" spans="1:4">
      <c r="A134" s="152"/>
      <c r="B134" t="s">
        <v>229</v>
      </c>
      <c r="C134" s="171">
        <v>0.03</v>
      </c>
      <c r="D134" s="155">
        <f t="shared" si="3"/>
        <v>139.49</v>
      </c>
    </row>
    <row r="135" spans="1:4">
      <c r="A135" s="152"/>
      <c r="B135" t="s">
        <v>230</v>
      </c>
      <c r="C135" s="171">
        <v>0.05</v>
      </c>
      <c r="D135" s="155">
        <f t="shared" si="3"/>
        <v>232.49</v>
      </c>
    </row>
    <row r="136" spans="1:4">
      <c r="A136" s="152" t="s">
        <v>58</v>
      </c>
      <c r="C136" s="197"/>
      <c r="D136" s="160">
        <f>TRUNC(SUM(D130:D132),2)</f>
        <v>783.11</v>
      </c>
    </row>
    <row r="137" spans="1:4">
      <c r="A137" s="152"/>
      <c r="C137" s="197"/>
      <c r="D137" s="160"/>
    </row>
    <row r="138" spans="1:1">
      <c r="A138" s="106"/>
    </row>
    <row r="139" spans="1:4">
      <c r="A139" s="130" t="s">
        <v>172</v>
      </c>
      <c r="B139" s="131"/>
      <c r="C139" s="131"/>
      <c r="D139" s="131"/>
    </row>
    <row r="140" spans="1:4">
      <c r="A140" s="152" t="s">
        <v>16</v>
      </c>
      <c r="B140" s="153" t="s">
        <v>173</v>
      </c>
      <c r="C140" s="153" t="s">
        <v>102</v>
      </c>
      <c r="D140" s="153" t="s">
        <v>19</v>
      </c>
    </row>
    <row r="141" spans="1:4">
      <c r="A141" s="152" t="s">
        <v>42</v>
      </c>
      <c r="B141" t="s">
        <v>36</v>
      </c>
      <c r="D141" s="160">
        <f>D31</f>
        <v>1716.86</v>
      </c>
    </row>
    <row r="142" spans="1:4">
      <c r="A142" s="152" t="s">
        <v>45</v>
      </c>
      <c r="B142" t="s">
        <v>61</v>
      </c>
      <c r="D142" s="160">
        <f>D73</f>
        <v>1614.97</v>
      </c>
    </row>
    <row r="143" spans="1:4">
      <c r="A143" s="152" t="s">
        <v>48</v>
      </c>
      <c r="B143" t="s">
        <v>108</v>
      </c>
      <c r="D143" s="160">
        <f>D83</f>
        <v>103.73</v>
      </c>
    </row>
    <row r="144" spans="1:4">
      <c r="A144" s="152" t="s">
        <v>50</v>
      </c>
      <c r="B144" t="s">
        <v>174</v>
      </c>
      <c r="D144" s="160">
        <f>D110</f>
        <v>115.77</v>
      </c>
    </row>
    <row r="145" spans="1:4">
      <c r="A145" s="152" t="s">
        <v>53</v>
      </c>
      <c r="B145" t="s">
        <v>152</v>
      </c>
      <c r="D145" s="160">
        <f>D119</f>
        <v>315.5</v>
      </c>
    </row>
    <row r="146" spans="1:4">
      <c r="A146" s="106"/>
      <c r="B146" s="198" t="s">
        <v>231</v>
      </c>
      <c r="D146" s="160">
        <f>TRUNC(SUM(D141:D145),2)</f>
        <v>3866.83</v>
      </c>
    </row>
    <row r="147" spans="1:4">
      <c r="A147" s="152" t="s">
        <v>55</v>
      </c>
      <c r="B147" t="s">
        <v>164</v>
      </c>
      <c r="D147" s="160">
        <f>D136</f>
        <v>783.11</v>
      </c>
    </row>
    <row r="148" spans="1:4">
      <c r="A148" s="199"/>
      <c r="B148" s="200" t="s">
        <v>232</v>
      </c>
      <c r="C148" s="201"/>
      <c r="D148" s="202">
        <f>TRUNC((SUM(D141:D145)+D147),2)</f>
        <v>4649.94</v>
      </c>
    </row>
    <row r="149" spans="1:1">
      <c r="A149" s="106"/>
    </row>
    <row r="150" spans="1:1">
      <c r="A150" s="106"/>
    </row>
    <row r="151" spans="1:1">
      <c r="A151" s="106"/>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A128:D128"/>
    <mergeCell ref="F129:G129"/>
    <mergeCell ref="A139:D139"/>
    <mergeCell ref="A41:B43"/>
    <mergeCell ref="A85:B88"/>
    <mergeCell ref="A121:B126"/>
  </mergeCells>
  <pageMargins left="0.75" right="0.75" top="1" bottom="1" header="0.5" footer="0.5"/>
  <pageSetup paperSize="9" scale="90"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16</vt:i4>
      </vt:variant>
    </vt:vector>
  </HeadingPairs>
  <TitlesOfParts>
    <vt:vector size="16" baseType="lpstr">
      <vt:lpstr>Orientações</vt:lpstr>
      <vt:lpstr>Servente</vt:lpstr>
      <vt:lpstr>Pedreiro</vt:lpstr>
      <vt:lpstr>Eletricista</vt:lpstr>
      <vt:lpstr>Pintor</vt:lpstr>
      <vt:lpstr>Técnico Manutenção</vt:lpstr>
      <vt:lpstr>Tecnico Refrigeração</vt:lpstr>
      <vt:lpstr>Auxiliar Manutenção</vt:lpstr>
      <vt:lpstr>Auxiliar de Manutenção (Areia)</vt:lpstr>
      <vt:lpstr>Jardineiro</vt:lpstr>
      <vt:lpstr>Operador Carga</vt:lpstr>
      <vt:lpstr>Uniformes e EPI</vt:lpstr>
      <vt:lpstr>EPC</vt:lpstr>
      <vt:lpstr>Equipamentos e Materiais</vt:lpstr>
      <vt:lpstr>Diárias</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Carlos Diêgo dos Santos Carva</cp:lastModifiedBy>
  <cp:revision>3</cp:revision>
  <dcterms:created xsi:type="dcterms:W3CDTF">2019-02-19T21:25:00Z</dcterms:created>
  <cp:lastPrinted>2020-02-20T19:26:00Z</cp:lastPrinted>
  <dcterms:modified xsi:type="dcterms:W3CDTF">2023-09-27T12:18:22Z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1046-11.2.0.11225</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